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charts/chart6.xml" ContentType="application/vnd.openxmlformats-officedocument.drawingml.char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ml.chartshapes+xml"/>
  <Override PartName="/xl/charts/chart4.xml" ContentType="application/vnd.openxmlformats-officedocument.drawingml.chart+xml"/>
  <Override PartName="/xl/drawings/drawing8.xml" ContentType="application/vnd.openxmlformats-officedocument.drawing+xml"/>
  <Override PartName="/xl/worksheets/sheet7.xml" ContentType="application/vnd.openxmlformats-officedocument.spreadsheetml.worksheet+xml"/>
  <Override PartName="/xl/worksheets/sheet11.xml" ContentType="application/vnd.openxmlformats-officedocument.spreadsheetml.worksheet+xml"/>
  <Override PartName="/xl/worksheets/sheet20.xml" ContentType="application/vnd.openxmlformats-officedocument.spreadsheetml.worksheet+xml"/>
  <Override PartName="/xl/charts/chart2.xml" ContentType="application/vnd.openxmlformats-officedocument.drawingml.chart+xml"/>
  <Override PartName="/xl/drawings/drawing4.xml" ContentType="application/vnd.openxmlformats-officedocument.drawingml.chartshap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hartsheets/sheet6.xml" ContentType="application/vnd.openxmlformats-officedocument.spreadsheetml.chartsheet+xml"/>
  <Override PartName="/xl/chartsheets/sheet7.xml" ContentType="application/vnd.openxmlformats-officedocument.spreadsheetml.chartsheet+xml"/>
  <Override PartName="/xl/comments2.xml" ContentType="application/vnd.openxmlformats-officedocument.spreadsheetml.comments+xml"/>
  <Override PartName="/xl/drawings/drawing1.xml" ContentType="application/vnd.openxmlformats-officedocument.drawing+xml"/>
  <Override PartName="/xl/drawings/drawing13.xml" ContentType="application/vnd.openxmlformats-officedocument.drawing+xml"/>
  <Override PartName="/xl/worksheets/sheet1.xml" ContentType="application/vnd.openxmlformats-officedocument.spreadsheetml.work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Default Extension="vml" ContentType="application/vnd.openxmlformats-officedocument.vmlDrawing"/>
  <Override PartName="/xl/comments1.xml" ContentType="application/vnd.openxmlformats-officedocument.spreadsheetml.comments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drawings/drawing10.xml" ContentType="application/vnd.openxmlformats-officedocument.drawing+xml"/>
  <Override PartName="/xl/chartsheets/sheet1.xml" ContentType="application/vnd.openxmlformats-officedocument.spreadsheetml.chart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docProps/core.xml" ContentType="application/vnd.openxmlformats-package.core-properties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drawings/drawing9.xml" ContentType="application/vnd.openxmlformats-officedocument.drawing+xml"/>
  <Override PartName="/xl/charts/chart7.xml" ContentType="application/vnd.openxmlformats-officedocument.drawingml.chart+xml"/>
  <Override PartName="/xl/charts/chart10.xml" ContentType="application/vnd.openxmlformats-officedocument.drawingml.chart+xml"/>
  <Override PartName="/xl/worksheets/sheet14.xml" ContentType="application/vnd.openxmlformats-officedocument.spreadsheetml.worksheet+xml"/>
  <Override PartName="/xl/drawings/drawing7.xml" ContentType="application/vnd.openxmlformats-officedocument.drawing+xml"/>
  <Override PartName="/xl/charts/chart5.xml" ContentType="application/vnd.openxmlformats-officedocument.drawingml.chart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worksheets/sheet12.xml" ContentType="application/vnd.openxmlformats-officedocument.spreadsheetml.worksheet+xml"/>
  <Override PartName="/xl/worksheets/sheet21.xml" ContentType="application/vnd.openxmlformats-officedocument.spreadsheetml.worksheet+xml"/>
  <Override PartName="/xl/drawings/drawing5.xml" ContentType="application/vnd.openxmlformats-officedocument.drawing+xml"/>
  <Override PartName="/xl/charts/chart3.xml" ContentType="application/vnd.openxmlformats-officedocument.drawingml.chart+xml"/>
  <Default Extension="jpeg" ContentType="image/jpeg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4305" yWindow="2145" windowWidth="12120" windowHeight="7095" tabRatio="845" firstSheet="17" activeTab="17"/>
  </bookViews>
  <sheets>
    <sheet name="Annual Summary 12-13" sheetId="1" r:id="rId1"/>
    <sheet name="Summary page breaks" sheetId="24" r:id="rId2"/>
    <sheet name="KWH Consumption" sheetId="3" r:id="rId3"/>
    <sheet name="3 yr KWH Chart" sheetId="2" r:id="rId4"/>
    <sheet name="Electrical Cost" sheetId="4" r:id="rId5"/>
    <sheet name="KW Demand" sheetId="5" r:id="rId6"/>
    <sheet name="KW Demand Cost" sheetId="6" r:id="rId7"/>
    <sheet name="3 yr Elec Cost-Consump" sheetId="7" r:id="rId8"/>
    <sheet name="ELECOMs" sheetId="8" r:id="rId9"/>
    <sheet name="Fuel Costs" sheetId="9" r:id="rId10"/>
    <sheet name="BTUCOMS" sheetId="11" r:id="rId11"/>
    <sheet name="BTU Cost Chart" sheetId="34" r:id="rId12"/>
    <sheet name="Heating Degree Days" sheetId="12" r:id="rId13"/>
    <sheet name="Heat Deg Days Chart" sheetId="21" r:id="rId14"/>
    <sheet name="Cooling Degree Days" sheetId="13" r:id="rId15"/>
    <sheet name="Cool Degree Days Chart" sheetId="23" r:id="rId16"/>
    <sheet name="Past Data" sheetId="14" r:id="rId17"/>
    <sheet name="12-13 Budget" sheetId="33" r:id="rId18"/>
    <sheet name="HDD vs BTU Chart" sheetId="22" r:id="rId19"/>
    <sheet name="HDD vs Consump Stats" sheetId="16" r:id="rId20"/>
    <sheet name="HDD vs Consump Chart" sheetId="17" r:id="rId21"/>
    <sheet name="Condensate by Bldg" sheetId="18" r:id="rId22"/>
    <sheet name="Condensate Chart" sheetId="26" r:id="rId23"/>
    <sheet name="Electrical Read by Bldg" sheetId="29" r:id="rId24"/>
    <sheet name="Bldg Elec Chart" sheetId="28" r:id="rId25"/>
    <sheet name="Wind Turbine Chart" sheetId="32" r:id="rId26"/>
    <sheet name="Wind Turbine Data" sheetId="31" r:id="rId27"/>
    <sheet name="Fuel Cost Comparisons" sheetId="30" r:id="rId28"/>
    <sheet name="Sheet1" sheetId="35" r:id="rId29"/>
  </sheets>
  <definedNames>
    <definedName name="__123Graph_A" hidden="1">'Annual Summary 12-13'!$S$323:$S$334</definedName>
    <definedName name="__123Graph_B" hidden="1">'Annual Summary 12-13'!$T$323:$T$334</definedName>
    <definedName name="__123Graph_C" hidden="1">'Annual Summary 12-13'!$U$323:$U$334</definedName>
    <definedName name="__123Graph_X" hidden="1">'Annual Summary 12-13'!$O$323:$O$334</definedName>
    <definedName name="_Regression_Int" localSheetId="0" hidden="1">1</definedName>
    <definedName name="ANNRPTS">'Annual Summary 12-13'!$A$1:$O$85</definedName>
    <definedName name="_xlnm.Print_Area" localSheetId="0">'Annual Summary 12-13'!$A$1:$O$92</definedName>
    <definedName name="_xlnm.Print_Area" localSheetId="24">'Bldg Elec Chart'!$A$6:$N$42</definedName>
    <definedName name="_xlnm.Print_Area" localSheetId="10">BTUCOMS!$A$1:$N$81</definedName>
    <definedName name="_xlnm.Print_Area" localSheetId="21">'Condensate by Bldg'!$A$1:$AA$27</definedName>
    <definedName name="_xlnm.Print_Area" localSheetId="8">ELECOMs!$A$1:$N$39</definedName>
    <definedName name="_xlnm.Print_Area" localSheetId="27">'Fuel Cost Comparisons'!$A$1:$K$37</definedName>
    <definedName name="_xlnm.Print_Area" localSheetId="20">'HDD vs Consump Chart'!$A$1:$N$35</definedName>
    <definedName name="_xlnm.Print_Area" localSheetId="19">'HDD vs Consump Stats'!$A$1:$M$57</definedName>
    <definedName name="_xlnm.Print_Area" localSheetId="16">'Past Data'!$A$1:$M$57</definedName>
    <definedName name="_xlnm.Print_Area" localSheetId="25">'Wind Turbine Chart'!$A$1:$O$37</definedName>
    <definedName name="Print_Area_MI" localSheetId="0">'Annual Summary 12-13'!$C$1:$O$85</definedName>
    <definedName name="_xlnm.Print_Titles" localSheetId="0">'Annual Summary 12-13'!$A:$B</definedName>
    <definedName name="_xlnm.Print_Titles" localSheetId="21">'Condensate by Bldg'!$A:$A,'Condensate by Bldg'!$1:$4</definedName>
    <definedName name="_xlnm.Print_Titles" localSheetId="23">'Electrical Read by Bldg'!$A:$A</definedName>
    <definedName name="_xlnm.Print_Titles" localSheetId="16">'Past Data'!$1:$4</definedName>
    <definedName name="_xlnm.Print_Titles" localSheetId="1">'Summary page breaks'!$A:$B,'Summary page breaks'!$1:$1</definedName>
    <definedName name="Print_Titles_MI" localSheetId="0">'Annual Summary 12-13'!$A:$B</definedName>
  </definedNames>
  <calcPr calcId="125725"/>
</workbook>
</file>

<file path=xl/calcChain.xml><?xml version="1.0" encoding="utf-8"?>
<calcChain xmlns="http://schemas.openxmlformats.org/spreadsheetml/2006/main">
  <c r="I31" i="33"/>
  <c r="I28"/>
  <c r="H31"/>
  <c r="H28"/>
  <c r="I19"/>
  <c r="B19"/>
  <c r="N23" i="6" l="1"/>
  <c r="Y18" i="18"/>
  <c r="Y19"/>
  <c r="Y20"/>
  <c r="Y21"/>
  <c r="Y22"/>
  <c r="Y23"/>
  <c r="Y24"/>
  <c r="Y25"/>
  <c r="Y26"/>
  <c r="I21"/>
  <c r="W24" l="1"/>
  <c r="W25"/>
  <c r="W26"/>
  <c r="U26"/>
  <c r="U25"/>
  <c r="U24"/>
  <c r="W23"/>
  <c r="W21"/>
  <c r="U22" l="1"/>
  <c r="U21"/>
  <c r="U19"/>
  <c r="U20"/>
  <c r="W19" l="1"/>
  <c r="X11" i="29" l="1"/>
  <c r="V26"/>
  <c r="H31" i="16" l="1"/>
  <c r="K31"/>
  <c r="J31"/>
  <c r="L31" s="1"/>
  <c r="E31"/>
  <c r="H33" i="14"/>
  <c r="K33"/>
  <c r="M33" s="1"/>
  <c r="J33"/>
  <c r="L33" s="1"/>
  <c r="E33"/>
  <c r="Y13" i="12"/>
  <c r="Y14"/>
  <c r="Y15"/>
  <c r="Y16"/>
  <c r="AE13"/>
  <c r="AE14"/>
  <c r="AE15"/>
  <c r="AE16"/>
  <c r="N32" i="6"/>
  <c r="N26" i="5"/>
  <c r="N27"/>
  <c r="M25" i="3"/>
  <c r="L25"/>
  <c r="K25"/>
  <c r="M31" i="16" l="1"/>
  <c r="J25" i="3"/>
  <c r="L16" i="1"/>
  <c r="K16"/>
  <c r="Q22" i="18"/>
  <c r="I25" i="3" l="1"/>
  <c r="H25"/>
  <c r="G25"/>
  <c r="Y7" i="12"/>
  <c r="Y8"/>
  <c r="Y9"/>
  <c r="Y10"/>
  <c r="C25" i="3"/>
  <c r="B25"/>
  <c r="AA5" i="13"/>
  <c r="AA6"/>
  <c r="AA7"/>
  <c r="AA8"/>
  <c r="AA9"/>
  <c r="AA10"/>
  <c r="AA11"/>
  <c r="AA12"/>
  <c r="AA13"/>
  <c r="AA14"/>
  <c r="AA15"/>
  <c r="AA16"/>
  <c r="AA4"/>
  <c r="Z17"/>
  <c r="Y6" i="12"/>
  <c r="Y11"/>
  <c r="Y12"/>
  <c r="Y17"/>
  <c r="Y5"/>
  <c r="AC18"/>
  <c r="AB18"/>
  <c r="X18"/>
  <c r="N69" i="11"/>
  <c r="N81"/>
  <c r="C29" i="9"/>
  <c r="D29"/>
  <c r="E29"/>
  <c r="F29"/>
  <c r="G29"/>
  <c r="H29"/>
  <c r="I29"/>
  <c r="J29"/>
  <c r="K29"/>
  <c r="L29"/>
  <c r="M29"/>
  <c r="B29"/>
  <c r="N28"/>
  <c r="N26" i="8"/>
  <c r="N39"/>
  <c r="C39" i="6"/>
  <c r="D39"/>
  <c r="E39"/>
  <c r="F39"/>
  <c r="G39"/>
  <c r="H39"/>
  <c r="I39"/>
  <c r="J39"/>
  <c r="K39"/>
  <c r="L39"/>
  <c r="M39"/>
  <c r="B39"/>
  <c r="C24"/>
  <c r="D24"/>
  <c r="E24"/>
  <c r="F24"/>
  <c r="G24"/>
  <c r="H24"/>
  <c r="I24"/>
  <c r="J24"/>
  <c r="K24"/>
  <c r="L24"/>
  <c r="M24"/>
  <c r="B24"/>
  <c r="C30" i="5"/>
  <c r="D30"/>
  <c r="E30"/>
  <c r="F30"/>
  <c r="G30"/>
  <c r="H30"/>
  <c r="I30"/>
  <c r="J30"/>
  <c r="K30"/>
  <c r="L30"/>
  <c r="M30"/>
  <c r="B30"/>
  <c r="C28"/>
  <c r="D28"/>
  <c r="E28"/>
  <c r="F28"/>
  <c r="G28"/>
  <c r="H28"/>
  <c r="I28"/>
  <c r="J28"/>
  <c r="K28"/>
  <c r="L28"/>
  <c r="M28"/>
  <c r="B28"/>
  <c r="C27" i="4"/>
  <c r="D27"/>
  <c r="E27"/>
  <c r="F27"/>
  <c r="G27"/>
  <c r="H27"/>
  <c r="I27"/>
  <c r="J27"/>
  <c r="K27"/>
  <c r="L27"/>
  <c r="M27"/>
  <c r="B27"/>
  <c r="N26"/>
  <c r="C27" i="3"/>
  <c r="D27"/>
  <c r="E27"/>
  <c r="F27"/>
  <c r="G27"/>
  <c r="H27"/>
  <c r="I27"/>
  <c r="J27"/>
  <c r="K27"/>
  <c r="L27"/>
  <c r="M27"/>
  <c r="B27"/>
  <c r="N24"/>
  <c r="O103" i="24"/>
  <c r="O101"/>
  <c r="N96"/>
  <c r="M96"/>
  <c r="L96"/>
  <c r="K96"/>
  <c r="J96"/>
  <c r="I96"/>
  <c r="H96"/>
  <c r="G96"/>
  <c r="F96"/>
  <c r="E96"/>
  <c r="D96"/>
  <c r="C96"/>
  <c r="N94"/>
  <c r="N95" s="1"/>
  <c r="M94"/>
  <c r="M95" s="1"/>
  <c r="L94"/>
  <c r="L95" s="1"/>
  <c r="K94"/>
  <c r="K95" s="1"/>
  <c r="J94"/>
  <c r="J95" s="1"/>
  <c r="I94"/>
  <c r="I95" s="1"/>
  <c r="H94"/>
  <c r="H95" s="1"/>
  <c r="G94"/>
  <c r="G95" s="1"/>
  <c r="F94"/>
  <c r="F95" s="1"/>
  <c r="E94"/>
  <c r="E95" s="1"/>
  <c r="D94"/>
  <c r="D95" s="1"/>
  <c r="C94"/>
  <c r="C95" s="1"/>
  <c r="N92"/>
  <c r="M92"/>
  <c r="L92"/>
  <c r="K92"/>
  <c r="J92"/>
  <c r="I92"/>
  <c r="H92"/>
  <c r="G92"/>
  <c r="F92"/>
  <c r="E92"/>
  <c r="D92"/>
  <c r="C92"/>
  <c r="N89"/>
  <c r="M89"/>
  <c r="L89"/>
  <c r="K89"/>
  <c r="J89"/>
  <c r="I89"/>
  <c r="H89"/>
  <c r="G89"/>
  <c r="F89"/>
  <c r="E89"/>
  <c r="D89"/>
  <c r="C89"/>
  <c r="N87"/>
  <c r="M87"/>
  <c r="L87"/>
  <c r="K87"/>
  <c r="J87"/>
  <c r="I87"/>
  <c r="H87"/>
  <c r="G87"/>
  <c r="F87"/>
  <c r="E87"/>
  <c r="D87"/>
  <c r="C87"/>
  <c r="N83"/>
  <c r="M83"/>
  <c r="L83"/>
  <c r="K83"/>
  <c r="J83"/>
  <c r="I83"/>
  <c r="H83"/>
  <c r="G83"/>
  <c r="F83"/>
  <c r="E83"/>
  <c r="D83"/>
  <c r="C83"/>
  <c r="N80"/>
  <c r="M80"/>
  <c r="L80"/>
  <c r="K80"/>
  <c r="J80"/>
  <c r="I80"/>
  <c r="H80"/>
  <c r="G80"/>
  <c r="F80"/>
  <c r="E80"/>
  <c r="D80"/>
  <c r="C80"/>
  <c r="N78"/>
  <c r="M78"/>
  <c r="L78"/>
  <c r="K78"/>
  <c r="J78"/>
  <c r="I78"/>
  <c r="H78"/>
  <c r="G78"/>
  <c r="F78"/>
  <c r="E78"/>
  <c r="D78"/>
  <c r="C78"/>
  <c r="I74"/>
  <c r="G74"/>
  <c r="F74"/>
  <c r="E74"/>
  <c r="D74"/>
  <c r="C74"/>
  <c r="N71"/>
  <c r="M71"/>
  <c r="L71"/>
  <c r="K71"/>
  <c r="J71"/>
  <c r="I71"/>
  <c r="H71"/>
  <c r="G71"/>
  <c r="F71"/>
  <c r="E71"/>
  <c r="D71"/>
  <c r="C71"/>
  <c r="N69"/>
  <c r="M69"/>
  <c r="K69"/>
  <c r="J69"/>
  <c r="J74" s="1"/>
  <c r="H69"/>
  <c r="H74" s="1"/>
  <c r="N66"/>
  <c r="M66"/>
  <c r="L66"/>
  <c r="K66"/>
  <c r="J66"/>
  <c r="I66"/>
  <c r="H66"/>
  <c r="G66"/>
  <c r="F66"/>
  <c r="E66"/>
  <c r="D66"/>
  <c r="C66"/>
  <c r="N64"/>
  <c r="N74" s="1"/>
  <c r="M64"/>
  <c r="M74" s="1"/>
  <c r="L64"/>
  <c r="L74" s="1"/>
  <c r="K64"/>
  <c r="N61"/>
  <c r="N73" s="1"/>
  <c r="M61"/>
  <c r="M73" s="1"/>
  <c r="L61"/>
  <c r="L73" s="1"/>
  <c r="K61"/>
  <c r="K73" s="1"/>
  <c r="J61"/>
  <c r="J73" s="1"/>
  <c r="I61"/>
  <c r="I73" s="1"/>
  <c r="H61"/>
  <c r="H73" s="1"/>
  <c r="G61"/>
  <c r="G73" s="1"/>
  <c r="F61"/>
  <c r="F73" s="1"/>
  <c r="F99" s="1"/>
  <c r="E61"/>
  <c r="E73" s="1"/>
  <c r="E99" s="1"/>
  <c r="D61"/>
  <c r="D73" s="1"/>
  <c r="D99" s="1"/>
  <c r="C61"/>
  <c r="C73" s="1"/>
  <c r="C99" s="1"/>
  <c r="N60"/>
  <c r="M60"/>
  <c r="L60"/>
  <c r="K60"/>
  <c r="J60"/>
  <c r="I60"/>
  <c r="H60"/>
  <c r="G60"/>
  <c r="O105" i="1"/>
  <c r="O104"/>
  <c r="O103"/>
  <c r="O102"/>
  <c r="O101"/>
  <c r="O99"/>
  <c r="N95"/>
  <c r="M95"/>
  <c r="L95"/>
  <c r="K95"/>
  <c r="J95"/>
  <c r="I95"/>
  <c r="H95"/>
  <c r="G95"/>
  <c r="F95"/>
  <c r="E95"/>
  <c r="D95"/>
  <c r="C95"/>
  <c r="N93"/>
  <c r="N94" s="1"/>
  <c r="M93"/>
  <c r="M94" s="1"/>
  <c r="L93"/>
  <c r="L94" s="1"/>
  <c r="K93"/>
  <c r="K94" s="1"/>
  <c r="J93"/>
  <c r="J94" s="1"/>
  <c r="I93"/>
  <c r="I94" s="1"/>
  <c r="H93"/>
  <c r="H94" s="1"/>
  <c r="G93"/>
  <c r="G94" s="1"/>
  <c r="F93"/>
  <c r="F94" s="1"/>
  <c r="E93"/>
  <c r="E94" s="1"/>
  <c r="D93"/>
  <c r="D94" s="1"/>
  <c r="C93"/>
  <c r="N91"/>
  <c r="M91"/>
  <c r="L91"/>
  <c r="K91"/>
  <c r="J91"/>
  <c r="I91"/>
  <c r="H91"/>
  <c r="G91"/>
  <c r="F91"/>
  <c r="E91"/>
  <c r="D91"/>
  <c r="C91"/>
  <c r="O90"/>
  <c r="O89"/>
  <c r="N88"/>
  <c r="M88"/>
  <c r="L88"/>
  <c r="K88"/>
  <c r="J88"/>
  <c r="I88"/>
  <c r="H88"/>
  <c r="G88"/>
  <c r="F88"/>
  <c r="E88"/>
  <c r="D88"/>
  <c r="C88"/>
  <c r="O87"/>
  <c r="N86"/>
  <c r="M86"/>
  <c r="L86"/>
  <c r="K86"/>
  <c r="J86"/>
  <c r="I86"/>
  <c r="H86"/>
  <c r="G86"/>
  <c r="F86"/>
  <c r="E86"/>
  <c r="D86"/>
  <c r="C86"/>
  <c r="O85"/>
  <c r="O84"/>
  <c r="Q82"/>
  <c r="N82"/>
  <c r="M82"/>
  <c r="L82"/>
  <c r="K82"/>
  <c r="J82"/>
  <c r="I82"/>
  <c r="H82"/>
  <c r="G82"/>
  <c r="F82"/>
  <c r="E82"/>
  <c r="D82"/>
  <c r="C82"/>
  <c r="O81"/>
  <c r="O80"/>
  <c r="N79"/>
  <c r="M79"/>
  <c r="L79"/>
  <c r="K79"/>
  <c r="J79"/>
  <c r="I79"/>
  <c r="H79"/>
  <c r="G79"/>
  <c r="F79"/>
  <c r="E79"/>
  <c r="D79"/>
  <c r="C79"/>
  <c r="O78"/>
  <c r="N77"/>
  <c r="M77"/>
  <c r="L77"/>
  <c r="K77"/>
  <c r="J77"/>
  <c r="I77"/>
  <c r="H77"/>
  <c r="G77"/>
  <c r="F77"/>
  <c r="E77"/>
  <c r="D77"/>
  <c r="C77"/>
  <c r="O76"/>
  <c r="O75"/>
  <c r="O82" s="1"/>
  <c r="N70"/>
  <c r="M70"/>
  <c r="L70"/>
  <c r="K70"/>
  <c r="J70"/>
  <c r="I70"/>
  <c r="H70"/>
  <c r="G70"/>
  <c r="F70"/>
  <c r="E70"/>
  <c r="D70"/>
  <c r="C70"/>
  <c r="N68"/>
  <c r="M68"/>
  <c r="L68"/>
  <c r="K68"/>
  <c r="J68"/>
  <c r="I68"/>
  <c r="H68"/>
  <c r="G68"/>
  <c r="F68"/>
  <c r="E68"/>
  <c r="D68"/>
  <c r="C68"/>
  <c r="O67"/>
  <c r="N65"/>
  <c r="M65"/>
  <c r="L65"/>
  <c r="K65"/>
  <c r="J65"/>
  <c r="I65"/>
  <c r="H65"/>
  <c r="G65"/>
  <c r="F65"/>
  <c r="E65"/>
  <c r="D65"/>
  <c r="C65"/>
  <c r="N63"/>
  <c r="M63"/>
  <c r="M73" s="1"/>
  <c r="L63"/>
  <c r="K63"/>
  <c r="K73" s="1"/>
  <c r="J63"/>
  <c r="I63"/>
  <c r="I73" s="1"/>
  <c r="H63"/>
  <c r="G63"/>
  <c r="G73" s="1"/>
  <c r="F63"/>
  <c r="E63"/>
  <c r="E73" s="1"/>
  <c r="D63"/>
  <c r="D73" s="1"/>
  <c r="C63"/>
  <c r="C73" s="1"/>
  <c r="O62"/>
  <c r="N60"/>
  <c r="N72" s="1"/>
  <c r="M60"/>
  <c r="M72" s="1"/>
  <c r="L60"/>
  <c r="L72" s="1"/>
  <c r="K60"/>
  <c r="K72" s="1"/>
  <c r="J60"/>
  <c r="J72" s="1"/>
  <c r="I60"/>
  <c r="I72" s="1"/>
  <c r="H60"/>
  <c r="H72" s="1"/>
  <c r="G60"/>
  <c r="G72" s="1"/>
  <c r="F60"/>
  <c r="F72" s="1"/>
  <c r="E60"/>
  <c r="E72" s="1"/>
  <c r="E97" s="1"/>
  <c r="D60"/>
  <c r="D72" s="1"/>
  <c r="D97" s="1"/>
  <c r="C60"/>
  <c r="C72" s="1"/>
  <c r="N59"/>
  <c r="M59"/>
  <c r="L59"/>
  <c r="K59"/>
  <c r="J59"/>
  <c r="I59"/>
  <c r="H59"/>
  <c r="G59"/>
  <c r="F59"/>
  <c r="O58"/>
  <c r="O57"/>
  <c r="O60" s="1"/>
  <c r="O23"/>
  <c r="F6"/>
  <c r="G6"/>
  <c r="H6"/>
  <c r="I6"/>
  <c r="J6"/>
  <c r="K6"/>
  <c r="L6"/>
  <c r="M6"/>
  <c r="C7"/>
  <c r="D7"/>
  <c r="E7"/>
  <c r="F7"/>
  <c r="G7"/>
  <c r="H7"/>
  <c r="I7"/>
  <c r="J7"/>
  <c r="K7"/>
  <c r="L7"/>
  <c r="M7"/>
  <c r="C10"/>
  <c r="D10"/>
  <c r="E10"/>
  <c r="F10"/>
  <c r="G10"/>
  <c r="H10"/>
  <c r="I10"/>
  <c r="J10"/>
  <c r="K10"/>
  <c r="L10"/>
  <c r="M10"/>
  <c r="C12"/>
  <c r="D12"/>
  <c r="E12"/>
  <c r="F12"/>
  <c r="G12"/>
  <c r="H12"/>
  <c r="I12"/>
  <c r="J12"/>
  <c r="K12"/>
  <c r="L12"/>
  <c r="M12"/>
  <c r="C15"/>
  <c r="C20" s="1"/>
  <c r="D15"/>
  <c r="D20" s="1"/>
  <c r="E15"/>
  <c r="F15"/>
  <c r="G15"/>
  <c r="G20" s="1"/>
  <c r="H15"/>
  <c r="H20" s="1"/>
  <c r="I15"/>
  <c r="J15"/>
  <c r="M15"/>
  <c r="C17"/>
  <c r="C19" s="1"/>
  <c r="D17"/>
  <c r="E17"/>
  <c r="E19" s="1"/>
  <c r="F17"/>
  <c r="G17"/>
  <c r="H17"/>
  <c r="I17"/>
  <c r="I19" s="1"/>
  <c r="J17"/>
  <c r="K17"/>
  <c r="L17"/>
  <c r="M17"/>
  <c r="M19" s="1"/>
  <c r="H19"/>
  <c r="L19"/>
  <c r="E20"/>
  <c r="F20"/>
  <c r="I20"/>
  <c r="J20"/>
  <c r="K20"/>
  <c r="L20"/>
  <c r="M20"/>
  <c r="C24"/>
  <c r="D24"/>
  <c r="E24"/>
  <c r="F24"/>
  <c r="G24"/>
  <c r="H24"/>
  <c r="I24"/>
  <c r="J24"/>
  <c r="K24"/>
  <c r="L24"/>
  <c r="M24"/>
  <c r="C26"/>
  <c r="D26"/>
  <c r="E26"/>
  <c r="F26"/>
  <c r="G26"/>
  <c r="H26"/>
  <c r="I26"/>
  <c r="J26"/>
  <c r="K26"/>
  <c r="L26"/>
  <c r="M26"/>
  <c r="C29"/>
  <c r="D29"/>
  <c r="E29"/>
  <c r="F29"/>
  <c r="G29"/>
  <c r="H29"/>
  <c r="I29"/>
  <c r="J29"/>
  <c r="K29"/>
  <c r="L29"/>
  <c r="M29"/>
  <c r="C33"/>
  <c r="D33"/>
  <c r="E33"/>
  <c r="F33"/>
  <c r="G33"/>
  <c r="H33"/>
  <c r="I33"/>
  <c r="J33"/>
  <c r="K33"/>
  <c r="L33"/>
  <c r="M33"/>
  <c r="C35"/>
  <c r="D35"/>
  <c r="E35"/>
  <c r="F35"/>
  <c r="G35"/>
  <c r="H35"/>
  <c r="I35"/>
  <c r="J35"/>
  <c r="K35"/>
  <c r="L35"/>
  <c r="M35"/>
  <c r="C38"/>
  <c r="D38"/>
  <c r="E38"/>
  <c r="F38"/>
  <c r="G38"/>
  <c r="H38"/>
  <c r="I38"/>
  <c r="J38"/>
  <c r="K38"/>
  <c r="L38"/>
  <c r="M38"/>
  <c r="C40"/>
  <c r="D40"/>
  <c r="E40"/>
  <c r="F40"/>
  <c r="G40"/>
  <c r="H40"/>
  <c r="I40"/>
  <c r="J40"/>
  <c r="K40"/>
  <c r="L40"/>
  <c r="M40"/>
  <c r="C42"/>
  <c r="D42"/>
  <c r="E42"/>
  <c r="F42"/>
  <c r="G42"/>
  <c r="H42"/>
  <c r="I42"/>
  <c r="J42"/>
  <c r="K42"/>
  <c r="L42"/>
  <c r="M42"/>
  <c r="B21" i="30"/>
  <c r="B34" s="1"/>
  <c r="B23"/>
  <c r="W14" i="18"/>
  <c r="J30" i="16"/>
  <c r="L30" s="1"/>
  <c r="H30"/>
  <c r="K30"/>
  <c r="M30" s="1"/>
  <c r="E30"/>
  <c r="H32" i="14"/>
  <c r="K32"/>
  <c r="M32"/>
  <c r="J32"/>
  <c r="L32" s="1"/>
  <c r="E32"/>
  <c r="N31" i="6"/>
  <c r="K40" i="24"/>
  <c r="N42" i="1"/>
  <c r="R19" i="29"/>
  <c r="P14"/>
  <c r="L24"/>
  <c r="L26"/>
  <c r="G21" i="30"/>
  <c r="Y17" i="13"/>
  <c r="W18" i="12"/>
  <c r="AD18"/>
  <c r="AE6"/>
  <c r="AE7"/>
  <c r="AE8"/>
  <c r="AE9"/>
  <c r="AE10"/>
  <c r="AE11"/>
  <c r="AE12"/>
  <c r="AE18"/>
  <c r="AE5"/>
  <c r="N68" i="11"/>
  <c r="N79"/>
  <c r="N27" i="9"/>
  <c r="N25" i="8"/>
  <c r="N37"/>
  <c r="N22" i="6"/>
  <c r="N25" i="5"/>
  <c r="N24"/>
  <c r="N25" i="4"/>
  <c r="D25" i="3"/>
  <c r="E25"/>
  <c r="F25"/>
  <c r="N23"/>
  <c r="O107" i="24"/>
  <c r="O106"/>
  <c r="O105"/>
  <c r="O104"/>
  <c r="O96"/>
  <c r="O91"/>
  <c r="O90"/>
  <c r="O88"/>
  <c r="O86"/>
  <c r="O85"/>
  <c r="O82"/>
  <c r="O81"/>
  <c r="O79"/>
  <c r="O77"/>
  <c r="O76"/>
  <c r="O94" s="1"/>
  <c r="O71"/>
  <c r="O68"/>
  <c r="O63"/>
  <c r="O59"/>
  <c r="O58"/>
  <c r="O61" s="1"/>
  <c r="N24" i="8"/>
  <c r="J29" i="16"/>
  <c r="L29" s="1"/>
  <c r="H29"/>
  <c r="K29"/>
  <c r="M29" s="1"/>
  <c r="E29"/>
  <c r="G5" i="18"/>
  <c r="I5"/>
  <c r="K5"/>
  <c r="M5"/>
  <c r="O5"/>
  <c r="Q5"/>
  <c r="S5"/>
  <c r="U5"/>
  <c r="W5"/>
  <c r="G6"/>
  <c r="I6"/>
  <c r="K6"/>
  <c r="M6"/>
  <c r="O6"/>
  <c r="Q6"/>
  <c r="S6"/>
  <c r="U6"/>
  <c r="W6"/>
  <c r="G7"/>
  <c r="I7"/>
  <c r="K7"/>
  <c r="M7"/>
  <c r="O7"/>
  <c r="Q7"/>
  <c r="S7"/>
  <c r="U7"/>
  <c r="W7"/>
  <c r="G8"/>
  <c r="I8"/>
  <c r="K8"/>
  <c r="M8"/>
  <c r="O8"/>
  <c r="Q8"/>
  <c r="S8"/>
  <c r="U8"/>
  <c r="W8"/>
  <c r="G9"/>
  <c r="I9"/>
  <c r="K9"/>
  <c r="M9"/>
  <c r="O9"/>
  <c r="Q9"/>
  <c r="S9"/>
  <c r="U9"/>
  <c r="W9"/>
  <c r="G10"/>
  <c r="I10"/>
  <c r="K10"/>
  <c r="M10"/>
  <c r="O10"/>
  <c r="Q10"/>
  <c r="S10"/>
  <c r="U10"/>
  <c r="W10"/>
  <c r="G11"/>
  <c r="I11"/>
  <c r="K11"/>
  <c r="M11"/>
  <c r="O11"/>
  <c r="Q11"/>
  <c r="S11"/>
  <c r="U11"/>
  <c r="W11"/>
  <c r="G12"/>
  <c r="I12"/>
  <c r="K12"/>
  <c r="M12"/>
  <c r="O12"/>
  <c r="Q12"/>
  <c r="S12"/>
  <c r="U12"/>
  <c r="W12"/>
  <c r="G13"/>
  <c r="I13"/>
  <c r="K13"/>
  <c r="M13"/>
  <c r="O13"/>
  <c r="Q13"/>
  <c r="S13"/>
  <c r="U13"/>
  <c r="W13"/>
  <c r="G14"/>
  <c r="I14"/>
  <c r="K14"/>
  <c r="M14"/>
  <c r="O14"/>
  <c r="Q14"/>
  <c r="S14"/>
  <c r="U14"/>
  <c r="G15"/>
  <c r="I15"/>
  <c r="K15"/>
  <c r="M15"/>
  <c r="O15"/>
  <c r="Q15"/>
  <c r="S15"/>
  <c r="U15"/>
  <c r="W15"/>
  <c r="G16"/>
  <c r="I16"/>
  <c r="K16"/>
  <c r="M16"/>
  <c r="O16"/>
  <c r="Q16"/>
  <c r="S16"/>
  <c r="U16"/>
  <c r="W16"/>
  <c r="G17"/>
  <c r="I17"/>
  <c r="K17"/>
  <c r="M17"/>
  <c r="O17"/>
  <c r="Q17"/>
  <c r="S17"/>
  <c r="U17"/>
  <c r="W17"/>
  <c r="G19"/>
  <c r="I19"/>
  <c r="S19"/>
  <c r="W20"/>
  <c r="G20"/>
  <c r="I20"/>
  <c r="K20"/>
  <c r="M20"/>
  <c r="O20"/>
  <c r="Q20"/>
  <c r="S20"/>
  <c r="G21"/>
  <c r="K21"/>
  <c r="M21"/>
  <c r="O21"/>
  <c r="Q21"/>
  <c r="S21"/>
  <c r="W22"/>
  <c r="G22"/>
  <c r="I22"/>
  <c r="K22"/>
  <c r="M22"/>
  <c r="O22"/>
  <c r="S22"/>
  <c r="G23"/>
  <c r="I23"/>
  <c r="K23"/>
  <c r="M23"/>
  <c r="O23"/>
  <c r="Q23"/>
  <c r="S23"/>
  <c r="G24"/>
  <c r="I24"/>
  <c r="K24"/>
  <c r="M24"/>
  <c r="O24"/>
  <c r="Q24"/>
  <c r="S24"/>
  <c r="G25"/>
  <c r="I25"/>
  <c r="K25"/>
  <c r="M25"/>
  <c r="O25"/>
  <c r="Q25"/>
  <c r="S25"/>
  <c r="G26"/>
  <c r="I26"/>
  <c r="K26"/>
  <c r="M26"/>
  <c r="O26"/>
  <c r="Q26"/>
  <c r="S26"/>
  <c r="C27"/>
  <c r="D27"/>
  <c r="E27"/>
  <c r="F27"/>
  <c r="G27"/>
  <c r="H27"/>
  <c r="I27"/>
  <c r="J27"/>
  <c r="L27"/>
  <c r="N27"/>
  <c r="P27"/>
  <c r="R27"/>
  <c r="T27"/>
  <c r="V27"/>
  <c r="G34" i="31"/>
  <c r="H27" i="29"/>
  <c r="X24"/>
  <c r="T11"/>
  <c r="T25"/>
  <c r="H31" i="14"/>
  <c r="K31"/>
  <c r="M31" s="1"/>
  <c r="J31"/>
  <c r="L31" s="1"/>
  <c r="E31"/>
  <c r="N80" i="11"/>
  <c r="N67"/>
  <c r="N26" i="9"/>
  <c r="N38" i="8"/>
  <c r="N30" i="6"/>
  <c r="N39" s="1"/>
  <c r="N21"/>
  <c r="N24" s="1"/>
  <c r="N23" i="5"/>
  <c r="N22"/>
  <c r="N24" i="4"/>
  <c r="N22" i="3"/>
  <c r="N42" i="24"/>
  <c r="C28" i="33"/>
  <c r="B28"/>
  <c r="D19"/>
  <c r="J19" i="1" l="1"/>
  <c r="F19"/>
  <c r="Z22" i="18"/>
  <c r="K19" i="1"/>
  <c r="G19"/>
  <c r="O65"/>
  <c r="O87" i="24"/>
  <c r="D19" i="1"/>
  <c r="O93"/>
  <c r="O95"/>
  <c r="K74" i="24"/>
  <c r="O74" s="1"/>
  <c r="J41" i="1"/>
  <c r="G102" i="24"/>
  <c r="G99"/>
  <c r="I102"/>
  <c r="I99"/>
  <c r="K102"/>
  <c r="K99"/>
  <c r="M102"/>
  <c r="M99"/>
  <c r="H102"/>
  <c r="H99"/>
  <c r="J102"/>
  <c r="J99"/>
  <c r="L102"/>
  <c r="L99"/>
  <c r="N102"/>
  <c r="N99"/>
  <c r="O60"/>
  <c r="L41" i="1"/>
  <c r="F41"/>
  <c r="O59"/>
  <c r="F73"/>
  <c r="H73"/>
  <c r="J73"/>
  <c r="L73"/>
  <c r="N73"/>
  <c r="O68"/>
  <c r="O70"/>
  <c r="O79"/>
  <c r="O86"/>
  <c r="O88"/>
  <c r="C97"/>
  <c r="O72"/>
  <c r="G100"/>
  <c r="G97"/>
  <c r="I100"/>
  <c r="I97"/>
  <c r="K100"/>
  <c r="K97"/>
  <c r="M100"/>
  <c r="M97"/>
  <c r="F97"/>
  <c r="F100"/>
  <c r="H97"/>
  <c r="H100"/>
  <c r="J97"/>
  <c r="J100"/>
  <c r="L97"/>
  <c r="L100"/>
  <c r="N97"/>
  <c r="N100"/>
  <c r="O73"/>
  <c r="O77"/>
  <c r="O91"/>
  <c r="C94"/>
  <c r="O63"/>
  <c r="H41"/>
  <c r="D41"/>
  <c r="M41"/>
  <c r="K41"/>
  <c r="I41"/>
  <c r="G41"/>
  <c r="E41"/>
  <c r="C41"/>
  <c r="M27" i="18"/>
  <c r="W27"/>
  <c r="U27"/>
  <c r="O66" i="24"/>
  <c r="O80"/>
  <c r="O89"/>
  <c r="Q27" i="18"/>
  <c r="S27"/>
  <c r="K27"/>
  <c r="O27"/>
  <c r="O73" i="24"/>
  <c r="O64"/>
  <c r="O65" s="1"/>
  <c r="O69"/>
  <c r="O70" s="1"/>
  <c r="O83"/>
  <c r="O92"/>
  <c r="O97"/>
  <c r="O95" s="1"/>
  <c r="O78"/>
  <c r="C19" i="33"/>
  <c r="C31" s="1"/>
  <c r="B31"/>
  <c r="O94" i="1" l="1"/>
  <c r="O102" i="24"/>
  <c r="O100" i="1"/>
  <c r="O97"/>
  <c r="O99" i="24"/>
  <c r="V18" i="12"/>
  <c r="L42" i="24"/>
  <c r="M42"/>
  <c r="N15" i="1"/>
  <c r="N10"/>
  <c r="N20" s="1"/>
  <c r="C35" i="24" l="1"/>
  <c r="X17" i="13"/>
  <c r="AA17" s="1"/>
  <c r="D23" i="29"/>
  <c r="D22" s="1"/>
  <c r="Z27"/>
  <c r="X27"/>
  <c r="V27"/>
  <c r="T27"/>
  <c r="R27"/>
  <c r="P27"/>
  <c r="N27"/>
  <c r="L27"/>
  <c r="J27"/>
  <c r="F27"/>
  <c r="D27"/>
  <c r="T24"/>
  <c r="J24"/>
  <c r="V10"/>
  <c r="H11"/>
  <c r="J11"/>
  <c r="F11"/>
  <c r="D11"/>
  <c r="Z21"/>
  <c r="X21"/>
  <c r="V21"/>
  <c r="T21"/>
  <c r="R21"/>
  <c r="P21"/>
  <c r="N21"/>
  <c r="L21"/>
  <c r="J21"/>
  <c r="H21"/>
  <c r="F21"/>
  <c r="D21"/>
  <c r="T10"/>
  <c r="R10"/>
  <c r="P10"/>
  <c r="N10"/>
  <c r="L10"/>
  <c r="J30"/>
  <c r="J10"/>
  <c r="J32" s="1"/>
  <c r="H10"/>
  <c r="H32" s="1"/>
  <c r="F10"/>
  <c r="F23"/>
  <c r="F22" s="1"/>
  <c r="D26"/>
  <c r="D10"/>
  <c r="C21" i="30"/>
  <c r="C34" s="1"/>
  <c r="D21"/>
  <c r="E21"/>
  <c r="F21"/>
  <c r="H21"/>
  <c r="H34" s="1"/>
  <c r="I21"/>
  <c r="J21"/>
  <c r="C23"/>
  <c r="D23"/>
  <c r="E23"/>
  <c r="F23"/>
  <c r="G23"/>
  <c r="H23"/>
  <c r="I23"/>
  <c r="J23"/>
  <c r="C35"/>
  <c r="H35"/>
  <c r="J35"/>
  <c r="K32"/>
  <c r="D34"/>
  <c r="E34"/>
  <c r="F34"/>
  <c r="G34"/>
  <c r="I34"/>
  <c r="J34"/>
  <c r="B35"/>
  <c r="B37" s="1"/>
  <c r="D35"/>
  <c r="E35"/>
  <c r="F35"/>
  <c r="G35"/>
  <c r="I35"/>
  <c r="B34" i="31"/>
  <c r="C34"/>
  <c r="D34"/>
  <c r="E34"/>
  <c r="F34"/>
  <c r="H34"/>
  <c r="I34"/>
  <c r="J34"/>
  <c r="K34"/>
  <c r="L34"/>
  <c r="M34"/>
  <c r="F4" i="29"/>
  <c r="H4"/>
  <c r="J4"/>
  <c r="L4"/>
  <c r="N4"/>
  <c r="P4"/>
  <c r="R4"/>
  <c r="T4"/>
  <c r="V4"/>
  <c r="X4"/>
  <c r="Z4"/>
  <c r="F5"/>
  <c r="H5"/>
  <c r="J5"/>
  <c r="L5"/>
  <c r="N5"/>
  <c r="R5"/>
  <c r="T5"/>
  <c r="V5"/>
  <c r="X5"/>
  <c r="Z5"/>
  <c r="F6"/>
  <c r="H6"/>
  <c r="J6"/>
  <c r="L6"/>
  <c r="N6"/>
  <c r="P6"/>
  <c r="R6"/>
  <c r="T6"/>
  <c r="V6"/>
  <c r="X6"/>
  <c r="Z6"/>
  <c r="F7"/>
  <c r="H7"/>
  <c r="J7"/>
  <c r="L7"/>
  <c r="N7"/>
  <c r="P7"/>
  <c r="R7"/>
  <c r="T7"/>
  <c r="V7"/>
  <c r="X7"/>
  <c r="Z7"/>
  <c r="F8"/>
  <c r="H8"/>
  <c r="J8"/>
  <c r="L8"/>
  <c r="N8"/>
  <c r="P8"/>
  <c r="R8"/>
  <c r="T8"/>
  <c r="V8"/>
  <c r="X8"/>
  <c r="Z8"/>
  <c r="F9"/>
  <c r="H9"/>
  <c r="J9"/>
  <c r="L9"/>
  <c r="N9"/>
  <c r="P9"/>
  <c r="R9"/>
  <c r="T9"/>
  <c r="V9"/>
  <c r="X9"/>
  <c r="Z9"/>
  <c r="X10"/>
  <c r="Z10"/>
  <c r="D12"/>
  <c r="F12"/>
  <c r="H12"/>
  <c r="J12"/>
  <c r="L12"/>
  <c r="N12"/>
  <c r="P12"/>
  <c r="R12"/>
  <c r="T12"/>
  <c r="V12"/>
  <c r="X12"/>
  <c r="Z12"/>
  <c r="D13"/>
  <c r="F13"/>
  <c r="H13"/>
  <c r="J13"/>
  <c r="L13"/>
  <c r="N13"/>
  <c r="P13"/>
  <c r="R13"/>
  <c r="T13"/>
  <c r="V13"/>
  <c r="X13"/>
  <c r="Z13"/>
  <c r="D14"/>
  <c r="F14"/>
  <c r="H14"/>
  <c r="J14"/>
  <c r="L14"/>
  <c r="N14"/>
  <c r="R14"/>
  <c r="T14"/>
  <c r="V14"/>
  <c r="X14"/>
  <c r="Z14"/>
  <c r="D15"/>
  <c r="F15"/>
  <c r="H15"/>
  <c r="J15"/>
  <c r="L15"/>
  <c r="N15"/>
  <c r="P15"/>
  <c r="R15"/>
  <c r="T15"/>
  <c r="V15"/>
  <c r="X15"/>
  <c r="Z15"/>
  <c r="D16"/>
  <c r="F16"/>
  <c r="H16"/>
  <c r="J16"/>
  <c r="L16"/>
  <c r="N16"/>
  <c r="P16"/>
  <c r="R16"/>
  <c r="T16"/>
  <c r="V16"/>
  <c r="X16"/>
  <c r="Z16"/>
  <c r="D17"/>
  <c r="F17"/>
  <c r="H17"/>
  <c r="J17"/>
  <c r="L17"/>
  <c r="N17"/>
  <c r="P17"/>
  <c r="R17"/>
  <c r="T17"/>
  <c r="V17"/>
  <c r="X17"/>
  <c r="Z17"/>
  <c r="D18"/>
  <c r="F18"/>
  <c r="H18"/>
  <c r="J18"/>
  <c r="L18"/>
  <c r="N18"/>
  <c r="P18"/>
  <c r="R18"/>
  <c r="T18"/>
  <c r="V18"/>
  <c r="X18"/>
  <c r="Z18"/>
  <c r="D19"/>
  <c r="F19"/>
  <c r="H19"/>
  <c r="J19"/>
  <c r="L19"/>
  <c r="N19"/>
  <c r="P19"/>
  <c r="T19"/>
  <c r="V19"/>
  <c r="X19"/>
  <c r="Z19"/>
  <c r="D20"/>
  <c r="F20"/>
  <c r="H20"/>
  <c r="J20"/>
  <c r="L20"/>
  <c r="N20"/>
  <c r="P20"/>
  <c r="R20"/>
  <c r="T20"/>
  <c r="V20"/>
  <c r="X20"/>
  <c r="Z20"/>
  <c r="H23"/>
  <c r="H22" s="1"/>
  <c r="J23"/>
  <c r="J22" s="1"/>
  <c r="L23"/>
  <c r="L22" s="1"/>
  <c r="N23"/>
  <c r="N22" s="1"/>
  <c r="P23"/>
  <c r="P22" s="1"/>
  <c r="R23"/>
  <c r="R22" s="1"/>
  <c r="T23"/>
  <c r="T22" s="1"/>
  <c r="V23"/>
  <c r="V22" s="1"/>
  <c r="X23"/>
  <c r="X22" s="1"/>
  <c r="Z23"/>
  <c r="Z22" s="1"/>
  <c r="D24"/>
  <c r="F24"/>
  <c r="H24"/>
  <c r="N24"/>
  <c r="P24"/>
  <c r="R24"/>
  <c r="V24"/>
  <c r="Z24"/>
  <c r="D25"/>
  <c r="F25"/>
  <c r="H25"/>
  <c r="J25"/>
  <c r="L25"/>
  <c r="N25"/>
  <c r="P25"/>
  <c r="R25"/>
  <c r="V25"/>
  <c r="X25"/>
  <c r="Z25"/>
  <c r="F26"/>
  <c r="H26"/>
  <c r="J26"/>
  <c r="N26"/>
  <c r="P26"/>
  <c r="R26"/>
  <c r="T26"/>
  <c r="X26"/>
  <c r="Z26"/>
  <c r="D28"/>
  <c r="F28"/>
  <c r="H28"/>
  <c r="J28"/>
  <c r="L28"/>
  <c r="N28"/>
  <c r="P28"/>
  <c r="R28"/>
  <c r="T28"/>
  <c r="V28"/>
  <c r="X28"/>
  <c r="Z28"/>
  <c r="D29"/>
  <c r="F29"/>
  <c r="H29"/>
  <c r="J29"/>
  <c r="L29"/>
  <c r="N29"/>
  <c r="P29"/>
  <c r="R29"/>
  <c r="T29"/>
  <c r="V29"/>
  <c r="X29"/>
  <c r="Z29"/>
  <c r="D30"/>
  <c r="F30"/>
  <c r="H30"/>
  <c r="L30"/>
  <c r="N30"/>
  <c r="P30"/>
  <c r="R30"/>
  <c r="T30"/>
  <c r="V30"/>
  <c r="X30"/>
  <c r="Z30"/>
  <c r="AA34"/>
  <c r="Y5" i="18"/>
  <c r="Z5" s="1"/>
  <c r="Y6"/>
  <c r="Z6" s="1"/>
  <c r="Y7"/>
  <c r="Z7" s="1"/>
  <c r="Y8"/>
  <c r="Z8" s="1"/>
  <c r="Y9"/>
  <c r="Z9" s="1"/>
  <c r="Y10"/>
  <c r="Z10" s="1"/>
  <c r="Y11"/>
  <c r="Z11" s="1"/>
  <c r="Y12"/>
  <c r="Z12" s="1"/>
  <c r="Y13"/>
  <c r="Z13" s="1"/>
  <c r="Y14"/>
  <c r="Z14" s="1"/>
  <c r="Y15"/>
  <c r="Z15" s="1"/>
  <c r="Y16"/>
  <c r="Z16" s="1"/>
  <c r="Y17"/>
  <c r="Z17" s="1"/>
  <c r="Z19"/>
  <c r="Z20"/>
  <c r="Z21"/>
  <c r="Z23"/>
  <c r="Z24"/>
  <c r="Z25"/>
  <c r="B27"/>
  <c r="X27"/>
  <c r="Z26" s="1"/>
  <c r="E9" i="16"/>
  <c r="H9"/>
  <c r="J9"/>
  <c r="K9"/>
  <c r="L9"/>
  <c r="E10"/>
  <c r="H10"/>
  <c r="J10"/>
  <c r="L10" s="1"/>
  <c r="K10"/>
  <c r="E11"/>
  <c r="J11"/>
  <c r="L11" s="1"/>
  <c r="K11"/>
  <c r="E12"/>
  <c r="H12"/>
  <c r="J12"/>
  <c r="M12" s="1"/>
  <c r="K12"/>
  <c r="L12"/>
  <c r="E13"/>
  <c r="H13"/>
  <c r="L13"/>
  <c r="M13"/>
  <c r="E14"/>
  <c r="E15"/>
  <c r="E16"/>
  <c r="K16"/>
  <c r="M16" s="1"/>
  <c r="L16"/>
  <c r="E17"/>
  <c r="K17"/>
  <c r="M17" s="1"/>
  <c r="L17"/>
  <c r="E18"/>
  <c r="H18"/>
  <c r="K18"/>
  <c r="L18"/>
  <c r="M18"/>
  <c r="E19"/>
  <c r="H19"/>
  <c r="J19"/>
  <c r="K19"/>
  <c r="L19"/>
  <c r="E20"/>
  <c r="H20"/>
  <c r="J20"/>
  <c r="L20" s="1"/>
  <c r="K20"/>
  <c r="E21"/>
  <c r="H21"/>
  <c r="J21"/>
  <c r="M21" s="1"/>
  <c r="K21"/>
  <c r="E22"/>
  <c r="H22"/>
  <c r="J22"/>
  <c r="K22"/>
  <c r="L22"/>
  <c r="E23"/>
  <c r="J23"/>
  <c r="M23" s="1"/>
  <c r="K23"/>
  <c r="L23"/>
  <c r="C24"/>
  <c r="E24" s="1"/>
  <c r="H24"/>
  <c r="K24"/>
  <c r="E25"/>
  <c r="H25"/>
  <c r="J25"/>
  <c r="K25"/>
  <c r="L25"/>
  <c r="E26"/>
  <c r="H26"/>
  <c r="J26"/>
  <c r="K26"/>
  <c r="L26"/>
  <c r="E27"/>
  <c r="H27"/>
  <c r="J27"/>
  <c r="L27" s="1"/>
  <c r="K27"/>
  <c r="E28"/>
  <c r="H28"/>
  <c r="J28"/>
  <c r="K28"/>
  <c r="C35"/>
  <c r="D35"/>
  <c r="E35" s="1"/>
  <c r="C36"/>
  <c r="D36"/>
  <c r="E36" s="1"/>
  <c r="C37"/>
  <c r="D37"/>
  <c r="E37" s="1"/>
  <c r="C38"/>
  <c r="D38"/>
  <c r="E38" s="1"/>
  <c r="C39"/>
  <c r="D39"/>
  <c r="E39"/>
  <c r="C40"/>
  <c r="D40"/>
  <c r="E40" s="1"/>
  <c r="C41"/>
  <c r="D41"/>
  <c r="E41" s="1"/>
  <c r="C42"/>
  <c r="D42"/>
  <c r="E42" s="1"/>
  <c r="C43"/>
  <c r="D43"/>
  <c r="E43" s="1"/>
  <c r="C44"/>
  <c r="D44"/>
  <c r="E44" s="1"/>
  <c r="C45"/>
  <c r="D45"/>
  <c r="E45"/>
  <c r="C46"/>
  <c r="D46"/>
  <c r="E46" s="1"/>
  <c r="C47"/>
  <c r="D47"/>
  <c r="E47" s="1"/>
  <c r="C48"/>
  <c r="D48"/>
  <c r="E48" s="1"/>
  <c r="C49"/>
  <c r="D49"/>
  <c r="E49"/>
  <c r="C50"/>
  <c r="D50"/>
  <c r="E50" s="1"/>
  <c r="C51"/>
  <c r="D51"/>
  <c r="E51" s="1"/>
  <c r="C52"/>
  <c r="D52"/>
  <c r="E52" s="1"/>
  <c r="C53"/>
  <c r="D53"/>
  <c r="E53" s="1"/>
  <c r="E54"/>
  <c r="E19" i="33"/>
  <c r="E31" s="1"/>
  <c r="G19"/>
  <c r="G24"/>
  <c r="I45"/>
  <c r="D31"/>
  <c r="E5" i="14"/>
  <c r="H5"/>
  <c r="J5"/>
  <c r="K5"/>
  <c r="L5"/>
  <c r="E6"/>
  <c r="H6"/>
  <c r="J6"/>
  <c r="K6"/>
  <c r="L6"/>
  <c r="E7"/>
  <c r="H7"/>
  <c r="J7"/>
  <c r="L7" s="1"/>
  <c r="K7"/>
  <c r="E8"/>
  <c r="H8"/>
  <c r="J8"/>
  <c r="K8"/>
  <c r="E9"/>
  <c r="H9"/>
  <c r="J9"/>
  <c r="K9"/>
  <c r="L9"/>
  <c r="E10"/>
  <c r="H10"/>
  <c r="J10"/>
  <c r="K10"/>
  <c r="L10"/>
  <c r="E11"/>
  <c r="H11"/>
  <c r="J11"/>
  <c r="L11" s="1"/>
  <c r="K11"/>
  <c r="E12"/>
  <c r="H12"/>
  <c r="J12"/>
  <c r="M12" s="1"/>
  <c r="K12"/>
  <c r="E13"/>
  <c r="J13"/>
  <c r="L13" s="1"/>
  <c r="K13"/>
  <c r="E14"/>
  <c r="H14"/>
  <c r="J14"/>
  <c r="K14"/>
  <c r="M14" s="1"/>
  <c r="L14"/>
  <c r="E15"/>
  <c r="H15"/>
  <c r="J15"/>
  <c r="M15" s="1"/>
  <c r="E16"/>
  <c r="H16"/>
  <c r="J16"/>
  <c r="E17"/>
  <c r="H17"/>
  <c r="J17"/>
  <c r="E18"/>
  <c r="H18"/>
  <c r="J18"/>
  <c r="L18" s="1"/>
  <c r="K18"/>
  <c r="E19"/>
  <c r="H19"/>
  <c r="J19"/>
  <c r="K19"/>
  <c r="E20"/>
  <c r="H20"/>
  <c r="K20"/>
  <c r="L20"/>
  <c r="M20"/>
  <c r="E21"/>
  <c r="H21"/>
  <c r="J21"/>
  <c r="K21"/>
  <c r="L21"/>
  <c r="E22"/>
  <c r="H22"/>
  <c r="J22"/>
  <c r="L22" s="1"/>
  <c r="K22"/>
  <c r="E23"/>
  <c r="H23"/>
  <c r="J23"/>
  <c r="K23"/>
  <c r="L23"/>
  <c r="E24"/>
  <c r="J24"/>
  <c r="L24" s="1"/>
  <c r="K24"/>
  <c r="E25"/>
  <c r="J25"/>
  <c r="L25" s="1"/>
  <c r="K25"/>
  <c r="M25" s="1"/>
  <c r="C26"/>
  <c r="J26" s="1"/>
  <c r="E26"/>
  <c r="H26"/>
  <c r="K26"/>
  <c r="E27"/>
  <c r="H27"/>
  <c r="J27"/>
  <c r="L27" s="1"/>
  <c r="K27"/>
  <c r="E28"/>
  <c r="H28"/>
  <c r="J28"/>
  <c r="M28" s="1"/>
  <c r="K28"/>
  <c r="E29"/>
  <c r="H29"/>
  <c r="J29"/>
  <c r="K29"/>
  <c r="L29"/>
  <c r="E30"/>
  <c r="H30"/>
  <c r="J30"/>
  <c r="K30"/>
  <c r="L30"/>
  <c r="C17" i="13"/>
  <c r="D17"/>
  <c r="E17"/>
  <c r="F17"/>
  <c r="G17"/>
  <c r="H17"/>
  <c r="I17"/>
  <c r="J17"/>
  <c r="K17"/>
  <c r="L17"/>
  <c r="M17"/>
  <c r="N17"/>
  <c r="O17"/>
  <c r="P17"/>
  <c r="Q17"/>
  <c r="R17"/>
  <c r="S17"/>
  <c r="T17"/>
  <c r="U17"/>
  <c r="V17"/>
  <c r="W17"/>
  <c r="B18" i="12"/>
  <c r="C18"/>
  <c r="D18"/>
  <c r="E18"/>
  <c r="F18"/>
  <c r="G18"/>
  <c r="H18"/>
  <c r="I18"/>
  <c r="J18"/>
  <c r="K18"/>
  <c r="L18"/>
  <c r="M18"/>
  <c r="N18"/>
  <c r="O18"/>
  <c r="P18"/>
  <c r="Q18"/>
  <c r="R18"/>
  <c r="S18"/>
  <c r="T18"/>
  <c r="U18"/>
  <c r="N3" i="11"/>
  <c r="N4"/>
  <c r="N5"/>
  <c r="N6"/>
  <c r="N7"/>
  <c r="N8"/>
  <c r="N9"/>
  <c r="N10"/>
  <c r="N11"/>
  <c r="B12"/>
  <c r="C12"/>
  <c r="D12"/>
  <c r="E12"/>
  <c r="F12"/>
  <c r="G12"/>
  <c r="H12"/>
  <c r="I12"/>
  <c r="J12"/>
  <c r="K12"/>
  <c r="L12"/>
  <c r="M12"/>
  <c r="N18"/>
  <c r="N19"/>
  <c r="N20"/>
  <c r="N21"/>
  <c r="N22"/>
  <c r="N23"/>
  <c r="N24"/>
  <c r="N25"/>
  <c r="N26"/>
  <c r="N27"/>
  <c r="B28"/>
  <c r="C28"/>
  <c r="D28"/>
  <c r="E28"/>
  <c r="F28"/>
  <c r="G28"/>
  <c r="H28"/>
  <c r="I28"/>
  <c r="J28"/>
  <c r="K28"/>
  <c r="L28"/>
  <c r="M28"/>
  <c r="N36"/>
  <c r="N37"/>
  <c r="N38"/>
  <c r="N43"/>
  <c r="N44"/>
  <c r="N45"/>
  <c r="N46"/>
  <c r="N54"/>
  <c r="N55"/>
  <c r="N56"/>
  <c r="N60"/>
  <c r="N61"/>
  <c r="N62"/>
  <c r="N63"/>
  <c r="N64"/>
  <c r="N65"/>
  <c r="N66"/>
  <c r="N71"/>
  <c r="N72"/>
  <c r="N73"/>
  <c r="N74"/>
  <c r="N75"/>
  <c r="N76"/>
  <c r="N77"/>
  <c r="N78"/>
  <c r="N5" i="9"/>
  <c r="N6"/>
  <c r="N7"/>
  <c r="N8"/>
  <c r="N9"/>
  <c r="N10"/>
  <c r="N11"/>
  <c r="N12"/>
  <c r="N13"/>
  <c r="N14"/>
  <c r="N15"/>
  <c r="N16"/>
  <c r="N18"/>
  <c r="N19"/>
  <c r="N20"/>
  <c r="N21"/>
  <c r="N22"/>
  <c r="N23"/>
  <c r="N24"/>
  <c r="N25"/>
  <c r="N2" i="8"/>
  <c r="N3"/>
  <c r="N4"/>
  <c r="N5"/>
  <c r="N7"/>
  <c r="N8"/>
  <c r="N9"/>
  <c r="N10"/>
  <c r="N11"/>
  <c r="N14"/>
  <c r="N15"/>
  <c r="N16"/>
  <c r="N17"/>
  <c r="N18"/>
  <c r="N19"/>
  <c r="N20"/>
  <c r="N21"/>
  <c r="N22"/>
  <c r="N23"/>
  <c r="N28"/>
  <c r="N29"/>
  <c r="N30"/>
  <c r="N31"/>
  <c r="N32"/>
  <c r="N33"/>
  <c r="N34"/>
  <c r="N35"/>
  <c r="N36"/>
  <c r="N3" i="6"/>
  <c r="N4"/>
  <c r="N5"/>
  <c r="N6"/>
  <c r="N7"/>
  <c r="N8"/>
  <c r="N9"/>
  <c r="N11"/>
  <c r="N12"/>
  <c r="N13"/>
  <c r="N14"/>
  <c r="N15"/>
  <c r="B16"/>
  <c r="F16"/>
  <c r="N16" s="1"/>
  <c r="N17"/>
  <c r="N18"/>
  <c r="N19"/>
  <c r="N20"/>
  <c r="N29"/>
  <c r="N3" i="5"/>
  <c r="N4"/>
  <c r="N5"/>
  <c r="N6"/>
  <c r="N7"/>
  <c r="N8"/>
  <c r="N9"/>
  <c r="N12"/>
  <c r="N13"/>
  <c r="N14"/>
  <c r="N15"/>
  <c r="N16"/>
  <c r="N17"/>
  <c r="N18"/>
  <c r="N19"/>
  <c r="N20"/>
  <c r="N30" s="1"/>
  <c r="N21"/>
  <c r="N28" s="1"/>
  <c r="N4" i="4"/>
  <c r="N5"/>
  <c r="N6"/>
  <c r="N7"/>
  <c r="N8"/>
  <c r="N9"/>
  <c r="N10"/>
  <c r="N11"/>
  <c r="N12"/>
  <c r="N13"/>
  <c r="N14"/>
  <c r="N15"/>
  <c r="N16"/>
  <c r="N17"/>
  <c r="N18"/>
  <c r="N19"/>
  <c r="N20"/>
  <c r="N21"/>
  <c r="N22"/>
  <c r="N23"/>
  <c r="N3" i="3"/>
  <c r="N4"/>
  <c r="N5"/>
  <c r="N6"/>
  <c r="N7"/>
  <c r="N8"/>
  <c r="N9"/>
  <c r="N10"/>
  <c r="N11"/>
  <c r="N12"/>
  <c r="N13"/>
  <c r="N14"/>
  <c r="N15"/>
  <c r="N16"/>
  <c r="N17"/>
  <c r="N18"/>
  <c r="N19"/>
  <c r="N20"/>
  <c r="N27" s="1"/>
  <c r="N21"/>
  <c r="O4" i="24"/>
  <c r="O5"/>
  <c r="G6"/>
  <c r="H6"/>
  <c r="I6"/>
  <c r="J6"/>
  <c r="K6"/>
  <c r="L6"/>
  <c r="M6"/>
  <c r="N6"/>
  <c r="C7"/>
  <c r="D7"/>
  <c r="E7"/>
  <c r="F7"/>
  <c r="G7"/>
  <c r="H7"/>
  <c r="I7"/>
  <c r="J7"/>
  <c r="K7"/>
  <c r="L7"/>
  <c r="M7"/>
  <c r="N7"/>
  <c r="O7"/>
  <c r="O9"/>
  <c r="K10"/>
  <c r="L10"/>
  <c r="M10"/>
  <c r="N10"/>
  <c r="C12"/>
  <c r="D12"/>
  <c r="E12"/>
  <c r="F12"/>
  <c r="G12"/>
  <c r="H12"/>
  <c r="I12"/>
  <c r="J12"/>
  <c r="K12"/>
  <c r="L12"/>
  <c r="M12"/>
  <c r="N12"/>
  <c r="O14"/>
  <c r="H15"/>
  <c r="J15"/>
  <c r="J20" s="1"/>
  <c r="M15"/>
  <c r="N15"/>
  <c r="C17"/>
  <c r="D17"/>
  <c r="E17"/>
  <c r="F17"/>
  <c r="G17"/>
  <c r="H17"/>
  <c r="I17"/>
  <c r="J17"/>
  <c r="K17"/>
  <c r="L17"/>
  <c r="M17"/>
  <c r="N17"/>
  <c r="C20"/>
  <c r="D20"/>
  <c r="E20"/>
  <c r="F20"/>
  <c r="G20"/>
  <c r="H20"/>
  <c r="K20"/>
  <c r="O22"/>
  <c r="O29" s="1"/>
  <c r="O23"/>
  <c r="C24"/>
  <c r="D24"/>
  <c r="E24"/>
  <c r="F24"/>
  <c r="G24"/>
  <c r="H24"/>
  <c r="I24"/>
  <c r="J24"/>
  <c r="K24"/>
  <c r="L24"/>
  <c r="M24"/>
  <c r="N24"/>
  <c r="O25"/>
  <c r="C26"/>
  <c r="D26"/>
  <c r="E26"/>
  <c r="F26"/>
  <c r="G26"/>
  <c r="H26"/>
  <c r="I26"/>
  <c r="J26"/>
  <c r="K26"/>
  <c r="L26"/>
  <c r="M26"/>
  <c r="N26"/>
  <c r="O27"/>
  <c r="O28"/>
  <c r="C29"/>
  <c r="D29"/>
  <c r="E29"/>
  <c r="F29"/>
  <c r="G29"/>
  <c r="H29"/>
  <c r="I29"/>
  <c r="J29"/>
  <c r="K29"/>
  <c r="L29"/>
  <c r="M29"/>
  <c r="N29"/>
  <c r="O31"/>
  <c r="O38" s="1"/>
  <c r="O32"/>
  <c r="C33"/>
  <c r="D33"/>
  <c r="E33"/>
  <c r="F33"/>
  <c r="G33"/>
  <c r="H33"/>
  <c r="I33"/>
  <c r="J33"/>
  <c r="K33"/>
  <c r="L33"/>
  <c r="M33"/>
  <c r="N33"/>
  <c r="O34"/>
  <c r="D35"/>
  <c r="E35"/>
  <c r="F35"/>
  <c r="G35"/>
  <c r="H35"/>
  <c r="I35"/>
  <c r="J35"/>
  <c r="K35"/>
  <c r="L35"/>
  <c r="M35"/>
  <c r="N35"/>
  <c r="O36"/>
  <c r="O37"/>
  <c r="C38"/>
  <c r="D38"/>
  <c r="E38"/>
  <c r="F38"/>
  <c r="G38"/>
  <c r="H38"/>
  <c r="I38"/>
  <c r="J38"/>
  <c r="K38"/>
  <c r="L38"/>
  <c r="M38"/>
  <c r="N38"/>
  <c r="C40"/>
  <c r="D40"/>
  <c r="E40"/>
  <c r="F40"/>
  <c r="G40"/>
  <c r="H40"/>
  <c r="I40"/>
  <c r="J40"/>
  <c r="L40"/>
  <c r="L41" s="1"/>
  <c r="M40"/>
  <c r="M41" s="1"/>
  <c r="N40"/>
  <c r="N41" s="1"/>
  <c r="C42"/>
  <c r="C41" s="1"/>
  <c r="D42"/>
  <c r="E42"/>
  <c r="F42"/>
  <c r="G42"/>
  <c r="H42"/>
  <c r="I42"/>
  <c r="J42"/>
  <c r="K42"/>
  <c r="K41" s="1"/>
  <c r="O47"/>
  <c r="O49"/>
  <c r="O50"/>
  <c r="O51"/>
  <c r="O52"/>
  <c r="O53"/>
  <c r="O4" i="1"/>
  <c r="O7" s="1"/>
  <c r="O5"/>
  <c r="N6"/>
  <c r="N7"/>
  <c r="O9"/>
  <c r="O10"/>
  <c r="N12"/>
  <c r="O14"/>
  <c r="N17"/>
  <c r="K47"/>
  <c r="O22"/>
  <c r="O29" s="1"/>
  <c r="N24"/>
  <c r="O25"/>
  <c r="N26"/>
  <c r="O27"/>
  <c r="O28"/>
  <c r="N29"/>
  <c r="Q29"/>
  <c r="O31"/>
  <c r="O32"/>
  <c r="N33"/>
  <c r="O34"/>
  <c r="N35"/>
  <c r="O36"/>
  <c r="O37"/>
  <c r="N38"/>
  <c r="N40"/>
  <c r="N41" s="1"/>
  <c r="D44"/>
  <c r="O46"/>
  <c r="O48"/>
  <c r="O49"/>
  <c r="O50"/>
  <c r="O51"/>
  <c r="O52"/>
  <c r="L11" i="29"/>
  <c r="N11"/>
  <c r="P11"/>
  <c r="R11"/>
  <c r="V11"/>
  <c r="Z11"/>
  <c r="N12" i="11" l="1"/>
  <c r="M21" i="14"/>
  <c r="M19"/>
  <c r="N19" i="1"/>
  <c r="N47" s="1"/>
  <c r="M20" i="24"/>
  <c r="M23" i="14"/>
  <c r="M8"/>
  <c r="M28" i="16"/>
  <c r="J24"/>
  <c r="M24" s="1"/>
  <c r="M11"/>
  <c r="N31" i="29"/>
  <c r="F32"/>
  <c r="L32"/>
  <c r="N34" i="31"/>
  <c r="I37" i="30"/>
  <c r="F37"/>
  <c r="G37"/>
  <c r="M26" i="14"/>
  <c r="L26"/>
  <c r="M19" i="24"/>
  <c r="I19"/>
  <c r="E19"/>
  <c r="N27" i="4"/>
  <c r="N29" i="9"/>
  <c r="N28" i="11"/>
  <c r="M29" i="14"/>
  <c r="L15"/>
  <c r="M9"/>
  <c r="M5"/>
  <c r="M25" i="16"/>
  <c r="M22"/>
  <c r="G19" i="24"/>
  <c r="C19"/>
  <c r="Y18" i="12"/>
  <c r="M27" i="14"/>
  <c r="M24"/>
  <c r="M22"/>
  <c r="M18"/>
  <c r="M13"/>
  <c r="M11"/>
  <c r="M7"/>
  <c r="M27" i="16"/>
  <c r="M20"/>
  <c r="M10"/>
  <c r="M30" i="14"/>
  <c r="L28"/>
  <c r="L19"/>
  <c r="L12"/>
  <c r="M10"/>
  <c r="L8"/>
  <c r="M6"/>
  <c r="L28" i="16"/>
  <c r="M26"/>
  <c r="L24"/>
  <c r="L21"/>
  <c r="M19"/>
  <c r="M9"/>
  <c r="N32" i="29"/>
  <c r="N33" s="1"/>
  <c r="N36" s="1"/>
  <c r="E41" i="24"/>
  <c r="N25" i="3"/>
  <c r="L19" i="24"/>
  <c r="L45" s="1"/>
  <c r="F19"/>
  <c r="I41"/>
  <c r="G41"/>
  <c r="O40"/>
  <c r="O17" i="1"/>
  <c r="M44"/>
  <c r="J41" i="24"/>
  <c r="H41"/>
  <c r="F41"/>
  <c r="D41"/>
  <c r="O15"/>
  <c r="O17"/>
  <c r="H19"/>
  <c r="H45" s="1"/>
  <c r="N20"/>
  <c r="O10"/>
  <c r="N19"/>
  <c r="N48" s="1"/>
  <c r="D19"/>
  <c r="K19"/>
  <c r="K45" s="1"/>
  <c r="O26" i="1"/>
  <c r="X32" i="29"/>
  <c r="X39" s="1"/>
  <c r="T32"/>
  <c r="T39" s="1"/>
  <c r="R32"/>
  <c r="R39" s="1"/>
  <c r="P32"/>
  <c r="P40" s="1"/>
  <c r="AA10"/>
  <c r="O33" i="24"/>
  <c r="O24"/>
  <c r="K44" i="1"/>
  <c r="I44"/>
  <c r="G44"/>
  <c r="E44"/>
  <c r="N44"/>
  <c r="L44"/>
  <c r="F44"/>
  <c r="J44"/>
  <c r="Y27" i="18"/>
  <c r="Z27"/>
  <c r="AA5" s="1"/>
  <c r="J37" i="30"/>
  <c r="O42" i="24"/>
  <c r="O6"/>
  <c r="I35" i="33"/>
  <c r="AA27" i="29"/>
  <c r="Z31"/>
  <c r="Z32"/>
  <c r="Z40" s="1"/>
  <c r="X31"/>
  <c r="V31"/>
  <c r="AA17"/>
  <c r="V32"/>
  <c r="V39" s="1"/>
  <c r="T31"/>
  <c r="AA26"/>
  <c r="AA21"/>
  <c r="P31"/>
  <c r="P33" s="1"/>
  <c r="P36" s="1"/>
  <c r="AA23"/>
  <c r="AA25"/>
  <c r="AA24"/>
  <c r="R31"/>
  <c r="AA11"/>
  <c r="AA8"/>
  <c r="AA6"/>
  <c r="AA4"/>
  <c r="L31"/>
  <c r="L33" s="1"/>
  <c r="L36" s="1"/>
  <c r="J31"/>
  <c r="J33" s="1"/>
  <c r="J36" s="1"/>
  <c r="AA29"/>
  <c r="AA28"/>
  <c r="AA19"/>
  <c r="AA18"/>
  <c r="H31"/>
  <c r="H33" s="1"/>
  <c r="H36" s="1"/>
  <c r="AA13"/>
  <c r="AA12"/>
  <c r="AA9"/>
  <c r="AA7"/>
  <c r="AA5"/>
  <c r="AA30"/>
  <c r="D31"/>
  <c r="F31"/>
  <c r="F33" s="1"/>
  <c r="F36" s="1"/>
  <c r="D32"/>
  <c r="AA20"/>
  <c r="AA16"/>
  <c r="AA15"/>
  <c r="AA14"/>
  <c r="K34" i="30"/>
  <c r="M47" i="1"/>
  <c r="L47"/>
  <c r="O26" i="24"/>
  <c r="D37" i="30"/>
  <c r="J19" i="24"/>
  <c r="J45" s="1"/>
  <c r="I20"/>
  <c r="O12"/>
  <c r="O12" i="1"/>
  <c r="J47"/>
  <c r="O15"/>
  <c r="H44"/>
  <c r="H37" i="30"/>
  <c r="E37"/>
  <c r="K35"/>
  <c r="C37"/>
  <c r="O35" i="24"/>
  <c r="H47" i="1"/>
  <c r="E45" i="24"/>
  <c r="D45"/>
  <c r="O40" i="1"/>
  <c r="O33"/>
  <c r="O24"/>
  <c r="C44"/>
  <c r="J39" i="29"/>
  <c r="J40"/>
  <c r="L39"/>
  <c r="L40"/>
  <c r="R40"/>
  <c r="V40"/>
  <c r="Z39"/>
  <c r="G47" i="1"/>
  <c r="M45" i="24"/>
  <c r="M48"/>
  <c r="K48"/>
  <c r="I45"/>
  <c r="I48"/>
  <c r="G45"/>
  <c r="G48"/>
  <c r="C45"/>
  <c r="H39" i="29"/>
  <c r="H40"/>
  <c r="N39"/>
  <c r="T40"/>
  <c r="AA22"/>
  <c r="O35" i="1"/>
  <c r="O20"/>
  <c r="L20" i="24"/>
  <c r="I47" i="33"/>
  <c r="I49" s="1"/>
  <c r="I38"/>
  <c r="I40" s="1"/>
  <c r="I42" s="1"/>
  <c r="O38" i="1"/>
  <c r="O42"/>
  <c r="I47"/>
  <c r="O6"/>
  <c r="F47"/>
  <c r="T33" i="29" l="1"/>
  <c r="T36" s="1"/>
  <c r="P39"/>
  <c r="L48" i="24"/>
  <c r="H48"/>
  <c r="F45"/>
  <c r="F48"/>
  <c r="N40" i="29"/>
  <c r="X40"/>
  <c r="O41" i="24"/>
  <c r="O20"/>
  <c r="N45"/>
  <c r="O19"/>
  <c r="O45" s="1"/>
  <c r="X33" i="29"/>
  <c r="X36" s="1"/>
  <c r="R33"/>
  <c r="R36" s="1"/>
  <c r="AA32"/>
  <c r="AA39" s="1"/>
  <c r="I52" i="33"/>
  <c r="J48" i="24"/>
  <c r="O41" i="1"/>
  <c r="O19"/>
  <c r="O44" s="1"/>
  <c r="AA6" i="18"/>
  <c r="AA23"/>
  <c r="AA14"/>
  <c r="AA11"/>
  <c r="AA10"/>
  <c r="AA19"/>
  <c r="AA7"/>
  <c r="AA15"/>
  <c r="AA20"/>
  <c r="AA24"/>
  <c r="AA8"/>
  <c r="AA12"/>
  <c r="AA16"/>
  <c r="AA21"/>
  <c r="AA25"/>
  <c r="AA9"/>
  <c r="AA13"/>
  <c r="AA17"/>
  <c r="AA22"/>
  <c r="AA26"/>
  <c r="K37" i="30"/>
  <c r="Z33" i="29"/>
  <c r="Z36" s="1"/>
  <c r="V33"/>
  <c r="V36" s="1"/>
  <c r="AA31"/>
  <c r="AB26" s="1"/>
  <c r="D33"/>
  <c r="D36" s="1"/>
  <c r="O47" i="1"/>
  <c r="O48" i="24" l="1"/>
  <c r="AA40" i="29"/>
  <c r="AA27" i="18"/>
  <c r="AB5" i="29"/>
  <c r="AB18"/>
  <c r="AB16"/>
  <c r="AB8"/>
  <c r="AB22"/>
  <c r="AB9"/>
  <c r="AB6"/>
  <c r="AB12"/>
  <c r="AB4"/>
  <c r="AB14"/>
  <c r="AB7"/>
  <c r="AB28"/>
  <c r="AB15"/>
  <c r="AA33"/>
  <c r="AA36" s="1"/>
  <c r="AB20"/>
  <c r="AB17"/>
  <c r="AB27"/>
  <c r="AB13"/>
  <c r="AB25"/>
  <c r="AB29"/>
  <c r="AB30"/>
  <c r="AB19"/>
  <c r="AB10"/>
  <c r="AB21"/>
  <c r="AB23"/>
  <c r="AB24"/>
  <c r="AB11"/>
  <c r="AB31" l="1"/>
</calcChain>
</file>

<file path=xl/comments1.xml><?xml version="1.0" encoding="utf-8"?>
<comments xmlns="http://schemas.openxmlformats.org/spreadsheetml/2006/main">
  <authors>
    <author>macalester</author>
  </authors>
  <commentList>
    <comment ref="H99" authorId="0">
      <text>
        <r>
          <rPr>
            <b/>
            <sz val="9"/>
            <color indexed="81"/>
            <rFont val="Tahoma"/>
            <family val="2"/>
          </rPr>
          <t>macalester:</t>
        </r>
        <r>
          <rPr>
            <sz val="9"/>
            <color indexed="81"/>
            <rFont val="Tahoma"/>
            <family val="2"/>
          </rPr>
          <t xml:space="preserve">
Estimated reading, meter not recording since O2 trim installed (no IP address)</t>
        </r>
      </text>
    </comment>
  </commentList>
</comments>
</file>

<file path=xl/comments2.xml><?xml version="1.0" encoding="utf-8"?>
<comments xmlns="http://schemas.openxmlformats.org/spreadsheetml/2006/main">
  <authors>
    <author>macalester</author>
  </authors>
  <commentList>
    <comment ref="H101" authorId="0">
      <text>
        <r>
          <rPr>
            <b/>
            <sz val="9"/>
            <color indexed="81"/>
            <rFont val="Tahoma"/>
            <family val="2"/>
          </rPr>
          <t>macalester:</t>
        </r>
        <r>
          <rPr>
            <sz val="9"/>
            <color indexed="81"/>
            <rFont val="Tahoma"/>
            <family val="2"/>
          </rPr>
          <t xml:space="preserve">
Estimated reading, meter not recording since O2 trim installed (no IP address)</t>
        </r>
      </text>
    </comment>
  </commentList>
</comments>
</file>

<file path=xl/sharedStrings.xml><?xml version="1.0" encoding="utf-8"?>
<sst xmlns="http://schemas.openxmlformats.org/spreadsheetml/2006/main" count="1240" uniqueCount="537">
  <si>
    <t>JUN</t>
  </si>
  <si>
    <t>JUL</t>
  </si>
  <si>
    <t>AUG</t>
  </si>
  <si>
    <t>SEP</t>
  </si>
  <si>
    <t>OCT</t>
  </si>
  <si>
    <t>NOV</t>
  </si>
  <si>
    <t>DEC</t>
  </si>
  <si>
    <t>JAN</t>
  </si>
  <si>
    <t>FEB</t>
  </si>
  <si>
    <t>MAR</t>
  </si>
  <si>
    <t>APR</t>
  </si>
  <si>
    <t>MAY</t>
  </si>
  <si>
    <t>YTD TOTAL</t>
  </si>
  <si>
    <t xml:space="preserve"> </t>
  </si>
  <si>
    <t>GAS</t>
  </si>
  <si>
    <t>COST-$</t>
  </si>
  <si>
    <t>UNIT COST</t>
  </si>
  <si>
    <t>#2 FUEL OIL</t>
  </si>
  <si>
    <t>QUANTITY-GAL</t>
  </si>
  <si>
    <t>#6 FUEL OIL</t>
  </si>
  <si>
    <t>ELECTRICITY</t>
  </si>
  <si>
    <t>QUANTITY-KWH</t>
  </si>
  <si>
    <t># BILLING DAYS</t>
  </si>
  <si>
    <t>KWH PER DAY</t>
  </si>
  <si>
    <t>QUANTITY KW</t>
  </si>
  <si>
    <t># STEAM GENERATED</t>
  </si>
  <si>
    <t>BOILER EFFICIENCY (BTU STEAM/BTU FUEL)</t>
  </si>
  <si>
    <t>HEATING DEGREE DAY - ACTUAL (MAC)</t>
  </si>
  <si>
    <t>COOLING DEGREE DAY - ACTUAL (MAC)</t>
  </si>
  <si>
    <t>YEAR</t>
  </si>
  <si>
    <t>TOTAL</t>
  </si>
  <si>
    <t>1991-92</t>
  </si>
  <si>
    <t>1992-93</t>
  </si>
  <si>
    <t>1993-94</t>
  </si>
  <si>
    <t>1994-95</t>
  </si>
  <si>
    <t>1995-96</t>
  </si>
  <si>
    <t>1996-97</t>
  </si>
  <si>
    <t>1997-98</t>
  </si>
  <si>
    <t>1998-99</t>
  </si>
  <si>
    <t>COST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</si>
  <si>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</si>
  <si>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</si>
  <si>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</si>
  <si>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</si>
  <si>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</si>
  <si>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</si>
  <si>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</si>
  <si>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</si>
  <si>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</si>
  <si>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</si>
  <si>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</si>
  <si>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</si>
  <si>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ELECTRICITY TOTAL COST</t>
  </si>
  <si>
    <t>JUNE</t>
  </si>
  <si>
    <t>JULY</t>
  </si>
  <si>
    <t>AUGUST</t>
  </si>
  <si>
    <t>SEPTEMBER</t>
  </si>
  <si>
    <t>OCTOBER</t>
  </si>
  <si>
    <t>NOVEMBER</t>
  </si>
  <si>
    <t>DECEMBER</t>
  </si>
  <si>
    <t>JANUARY</t>
  </si>
  <si>
    <t>FEBRUARY</t>
  </si>
  <si>
    <t>MARCH</t>
  </si>
  <si>
    <t>APRIL</t>
  </si>
  <si>
    <t>1989-90</t>
  </si>
  <si>
    <t>1996-97  ($559,179)</t>
  </si>
  <si>
    <t>1998-99  ($626,696)</t>
  </si>
  <si>
    <t>COST OF GAS AND OIL</t>
  </si>
  <si>
    <t>1990-91</t>
  </si>
  <si>
    <t>BTU CONSUMPTION (X100k)</t>
  </si>
  <si>
    <t>(x1,000,000)</t>
  </si>
  <si>
    <t>1996-97 (99.99 BIL Btus)</t>
  </si>
  <si>
    <t>1997-98 (82.41 BIL Btus)</t>
  </si>
  <si>
    <t>1996-97 ($293,146)</t>
  </si>
  <si>
    <t>1997-98 ($220,834)</t>
  </si>
  <si>
    <t>90/91</t>
  </si>
  <si>
    <t>91/92</t>
  </si>
  <si>
    <t>92/93</t>
  </si>
  <si>
    <t>93/94</t>
  </si>
  <si>
    <t>94/95</t>
  </si>
  <si>
    <t>95/96</t>
  </si>
  <si>
    <t>96/97</t>
  </si>
  <si>
    <t>97/98</t>
  </si>
  <si>
    <t>98/99</t>
  </si>
  <si>
    <t>MACALESTER COLLEGE ACTUAL READINGS</t>
  </si>
  <si>
    <t>COOLING DEGREE DAYS</t>
  </si>
  <si>
    <t>89/90</t>
  </si>
  <si>
    <t>94-95</t>
  </si>
  <si>
    <t>95-96</t>
  </si>
  <si>
    <t>96-97</t>
  </si>
  <si>
    <t>97-98</t>
  </si>
  <si>
    <t>98-99</t>
  </si>
  <si>
    <t>ACTUAL</t>
  </si>
  <si>
    <t>BTUs</t>
  </si>
  <si>
    <t>FUEL</t>
  </si>
  <si>
    <t>ELECT</t>
  </si>
  <si>
    <t xml:space="preserve">BTU </t>
  </si>
  <si>
    <t>HEATING</t>
  </si>
  <si>
    <t>CONSUMED</t>
  </si>
  <si>
    <t>KWH</t>
  </si>
  <si>
    <t>ELECTRIC</t>
  </si>
  <si>
    <t xml:space="preserve">SQUARE </t>
  </si>
  <si>
    <t>BTU</t>
  </si>
  <si>
    <t>CONSUMP</t>
  </si>
  <si>
    <t>per</t>
  </si>
  <si>
    <t>DEGREE</t>
  </si>
  <si>
    <t xml:space="preserve">  x1,000,000</t>
  </si>
  <si>
    <t>PER</t>
  </si>
  <si>
    <t>FEET</t>
  </si>
  <si>
    <t>CONSUM</t>
  </si>
  <si>
    <t>X1000K</t>
  </si>
  <si>
    <t>DAYS</t>
  </si>
  <si>
    <t>100k BTU</t>
  </si>
  <si>
    <t>84-85</t>
  </si>
  <si>
    <t>85-86</t>
  </si>
  <si>
    <t>86-87</t>
  </si>
  <si>
    <t>87-88</t>
  </si>
  <si>
    <t>91-92</t>
  </si>
  <si>
    <t>2.  Weyerhaeuser Hall renovated--a/c added.</t>
  </si>
  <si>
    <t>3.  Carnegie Hall renovated--a/c added along with more usable area.</t>
  </si>
  <si>
    <t>4.  Humanities renovated--additional space and a/c.</t>
  </si>
  <si>
    <t>MACALESTER COLLEGE</t>
  </si>
  <si>
    <t xml:space="preserve">                      </t>
  </si>
  <si>
    <t>ENERGY</t>
  </si>
  <si>
    <t>CONSUMPTION</t>
  </si>
  <si>
    <t>TYPE</t>
  </si>
  <si>
    <t>EXPENDITURE</t>
  </si>
  <si>
    <t>(BTUs/KWH)</t>
  </si>
  <si>
    <t>OIL (GAL.)</t>
  </si>
  <si>
    <t>#6</t>
  </si>
  <si>
    <t>#2</t>
  </si>
  <si>
    <t>TOTAL BTUs</t>
  </si>
  <si>
    <t xml:space="preserve"> (* 1,000)</t>
  </si>
  <si>
    <t>ELEC. (KWH)</t>
  </si>
  <si>
    <t>EXPENDED</t>
  </si>
  <si>
    <t>HDD</t>
  </si>
  <si>
    <t>1999-00  ($621,699)</t>
  </si>
  <si>
    <t>TOTAL HEATING COSTS</t>
  </si>
  <si>
    <t>TOTAL HEATING BTU</t>
  </si>
  <si>
    <t>1998-99  ($626,968)</t>
  </si>
  <si>
    <t>1997-98  ($613,894)</t>
  </si>
  <si>
    <t>1999-00 ($221,394)</t>
  </si>
  <si>
    <t>1998-99 ($197,453)</t>
  </si>
  <si>
    <t>99-00</t>
  </si>
  <si>
    <t>90-91</t>
  </si>
  <si>
    <t>92-93</t>
  </si>
  <si>
    <t>93-94</t>
  </si>
  <si>
    <t>97-98 (690)</t>
  </si>
  <si>
    <t>98-99 (750)</t>
  </si>
  <si>
    <t>99-00 (740)</t>
  </si>
  <si>
    <t>1999-00 (76.96 BIL Btus)</t>
  </si>
  <si>
    <t>1998-99 (86.67 BIL Btus)</t>
  </si>
  <si>
    <t>2000-01  ($567,550)</t>
  </si>
  <si>
    <t>1999-2000</t>
  </si>
  <si>
    <t>2000-2001</t>
  </si>
  <si>
    <t>2001-2002</t>
  </si>
  <si>
    <t>2001-02  ($642,002)</t>
  </si>
  <si>
    <t>2000-01 (94.7  BIL Btus)</t>
  </si>
  <si>
    <t>2000-01 ($506,962)</t>
  </si>
  <si>
    <t>2001-02 (84.2  BIL Btus)</t>
  </si>
  <si>
    <t>2001-02 ($319,000)</t>
  </si>
  <si>
    <t>2000-01  ($506,962)</t>
  </si>
  <si>
    <t>1999-00  ($221,413)</t>
  </si>
  <si>
    <t>99/00</t>
  </si>
  <si>
    <t>00/01</t>
  </si>
  <si>
    <t>01/02</t>
  </si>
  <si>
    <t>2001-02  ($326,532)</t>
  </si>
  <si>
    <t>00-01</t>
  </si>
  <si>
    <t>01-02</t>
  </si>
  <si>
    <t>00/01 (612)</t>
  </si>
  <si>
    <t>01/02 ( 851)</t>
  </si>
  <si>
    <t>x1,000,000</t>
  </si>
  <si>
    <t>per FOOT</t>
  </si>
  <si>
    <t>COST - $</t>
  </si>
  <si>
    <t>BTUS (x 1000)</t>
  </si>
  <si>
    <t>Demand (per 121 S Snelling Xcel billing)</t>
  </si>
  <si>
    <t xml:space="preserve">             (per 121 S Snelling Xcel billing)</t>
  </si>
  <si>
    <t>2002-2003</t>
  </si>
  <si>
    <t>2002-03 (13,257,600 kwh)</t>
  </si>
  <si>
    <t>2001-02 (12,739,200 kwh)</t>
  </si>
  <si>
    <t>2000-01 (11,611,968 kwh)</t>
  </si>
  <si>
    <t>1999-00 (12,117,600 kwh)</t>
  </si>
  <si>
    <t>June</t>
  </si>
  <si>
    <t>July</t>
  </si>
  <si>
    <t>August</t>
  </si>
  <si>
    <t>September</t>
  </si>
  <si>
    <t>October</t>
  </si>
  <si>
    <t>November</t>
  </si>
  <si>
    <t>December</t>
  </si>
  <si>
    <t>January</t>
  </si>
  <si>
    <t>February</t>
  </si>
  <si>
    <t>March</t>
  </si>
  <si>
    <t>April</t>
  </si>
  <si>
    <t>May</t>
  </si>
  <si>
    <t>Total</t>
  </si>
  <si>
    <t>Electricity kwh</t>
  </si>
  <si>
    <t>Year</t>
  </si>
  <si>
    <t>1992-93 (10,420,800 kwh)</t>
  </si>
  <si>
    <t>1991-92 (10,699,200 kwh)</t>
  </si>
  <si>
    <t>1993-94 (10,384,173 kwh)</t>
  </si>
  <si>
    <t>1994-95 (10,454,200 kwh)</t>
  </si>
  <si>
    <t>1995-96 (10,836,825 kwh)</t>
  </si>
  <si>
    <t>1996-97 (11,988,879 kwh)</t>
  </si>
  <si>
    <t>1997-98 (12,782,400 kwh)</t>
  </si>
  <si>
    <t>1998-99 (12,979,200 kwh)</t>
  </si>
  <si>
    <t>2001-02  ($640,022)</t>
  </si>
  <si>
    <t>2002-03  ($637,914)</t>
  </si>
  <si>
    <t>2002-03  ($432,450)</t>
  </si>
  <si>
    <t>2002-03  (91.3 BIL Btus)</t>
  </si>
  <si>
    <t>02/03</t>
  </si>
  <si>
    <t>02/03 (859)</t>
  </si>
  <si>
    <t>02-03</t>
  </si>
  <si>
    <t>Variance:</t>
  </si>
  <si>
    <t xml:space="preserve">          Budget -vs- Estimate</t>
  </si>
  <si>
    <t>Fuel Variance:</t>
  </si>
  <si>
    <t xml:space="preserve">          Consumption</t>
  </si>
  <si>
    <t xml:space="preserve">          Price</t>
  </si>
  <si>
    <t xml:space="preserve">          Sub-Total</t>
  </si>
  <si>
    <t>Electrical Variance:</t>
  </si>
  <si>
    <t>Total Variance</t>
  </si>
  <si>
    <t xml:space="preserve">          Fuel &amp; Electrical</t>
  </si>
  <si>
    <r>
      <t>88-89</t>
    </r>
    <r>
      <rPr>
        <sz val="8"/>
        <rFont val="Arial"/>
        <family val="2"/>
      </rPr>
      <t xml:space="preserve"> (1)</t>
    </r>
  </si>
  <si>
    <r>
      <t xml:space="preserve">89-90 </t>
    </r>
    <r>
      <rPr>
        <sz val="8"/>
        <rFont val="Arial"/>
        <family val="2"/>
      </rPr>
      <t>(2)</t>
    </r>
  </si>
  <si>
    <r>
      <t>90-91</t>
    </r>
    <r>
      <rPr>
        <sz val="8"/>
        <rFont val="Arial"/>
        <family val="2"/>
      </rPr>
      <t xml:space="preserve"> (3)</t>
    </r>
  </si>
  <si>
    <r>
      <t>92-93</t>
    </r>
    <r>
      <rPr>
        <sz val="8"/>
        <rFont val="Arial"/>
        <family val="2"/>
      </rPr>
      <t xml:space="preserve"> (4)</t>
    </r>
  </si>
  <si>
    <t>11.  Kagin comes back on line January 2002.</t>
  </si>
  <si>
    <t>MONTHLY ENERGY BUDGET REPORT</t>
  </si>
  <si>
    <t>METER READINGS</t>
  </si>
  <si>
    <t>READING</t>
  </si>
  <si>
    <t>UNITS</t>
  </si>
  <si>
    <t xml:space="preserve">READING </t>
  </si>
  <si>
    <t>%</t>
  </si>
  <si>
    <t>ART &amp; POWER PLANT</t>
  </si>
  <si>
    <t>CAMPUS CENTER</t>
  </si>
  <si>
    <t>CARNEGIE</t>
  </si>
  <si>
    <t>CHAPEL</t>
  </si>
  <si>
    <t>HUMANITIES</t>
  </si>
  <si>
    <t>KAGIN</t>
  </si>
  <si>
    <t>LIBRARY</t>
  </si>
  <si>
    <t>MUSIC</t>
  </si>
  <si>
    <t>OLD MAIN</t>
  </si>
  <si>
    <t>GD DAYTON</t>
  </si>
  <si>
    <t>RICE</t>
  </si>
  <si>
    <t>THEATER</t>
  </si>
  <si>
    <t>WEYERHAEUSER HALL</t>
  </si>
  <si>
    <t>BIGELOW</t>
  </si>
  <si>
    <t>DOTY</t>
  </si>
  <si>
    <t>DUPRE</t>
  </si>
  <si>
    <t>KIRK</t>
  </si>
  <si>
    <t>TURCK</t>
  </si>
  <si>
    <t>WALLACE &amp; 30 MAC</t>
  </si>
  <si>
    <t>DISTRICT HEATING</t>
  </si>
  <si>
    <t>Annual</t>
  </si>
  <si>
    <t>LOCATION</t>
  </si>
  <si>
    <t xml:space="preserve">JANUARY </t>
  </si>
  <si>
    <t xml:space="preserve">APRIL </t>
  </si>
  <si>
    <t xml:space="preserve">MAY </t>
  </si>
  <si>
    <t>ANNUAL</t>
  </si>
  <si>
    <t xml:space="preserve">%  OF </t>
  </si>
  <si>
    <t>READ DATE</t>
  </si>
  <si>
    <t>Reading</t>
  </si>
  <si>
    <t>CAMPUS</t>
  </si>
  <si>
    <t>ART LIGHTS (TC)</t>
  </si>
  <si>
    <t>POWER PLANT</t>
  </si>
  <si>
    <t>HUM POW &amp; LIG</t>
  </si>
  <si>
    <t>30 MAC</t>
  </si>
  <si>
    <t>MUSIC (PB1)</t>
  </si>
  <si>
    <t>MUSIC LIGHTS (TB)</t>
  </si>
  <si>
    <t>THEATER (TA)</t>
  </si>
  <si>
    <t>WEY HALL</t>
  </si>
  <si>
    <t>STADIUM</t>
  </si>
  <si>
    <t>WALLACE</t>
  </si>
  <si>
    <t>SUBTOTAL</t>
  </si>
  <si>
    <t xml:space="preserve">  </t>
  </si>
  <si>
    <t xml:space="preserve">   </t>
  </si>
  <si>
    <t>5 YEAR AVERAGE</t>
  </si>
  <si>
    <t>2003-04 (12,969,000 kwh)</t>
  </si>
  <si>
    <t>2003-04  ($639,256)</t>
  </si>
  <si>
    <t>2003-2004</t>
  </si>
  <si>
    <t>2003-04  ($423,755)</t>
  </si>
  <si>
    <t>2003-04  (89.5 BIL Btus)</t>
  </si>
  <si>
    <t>3 Year Avg.</t>
  </si>
  <si>
    <t>03/04</t>
  </si>
  <si>
    <t>03/04 (772)</t>
  </si>
  <si>
    <t>3 YR AVE</t>
  </si>
  <si>
    <t>03-04</t>
  </si>
  <si>
    <t>2004-05 (12,969,000 kwh)</t>
  </si>
  <si>
    <t>2004-2005</t>
  </si>
  <si>
    <t>2004-05  (BIL Btus)</t>
  </si>
  <si>
    <t>Peak Demand (per Xcel billing)</t>
  </si>
  <si>
    <t>QUANTITY-MCF</t>
  </si>
  <si>
    <t>MCF BTUS (x 1000)</t>
  </si>
  <si>
    <t>QTY-BTU (x 1000)</t>
  </si>
  <si>
    <t>TOTAL CAMPUS BTU CONSUMPTION x 1 MIL</t>
  </si>
  <si>
    <t>2005-06 (13,058,757 kwh)</t>
  </si>
  <si>
    <t>2005-2006</t>
  </si>
  <si>
    <t>2004-05  ($677,251)</t>
  </si>
  <si>
    <t>2005-06  ($807,129)</t>
  </si>
  <si>
    <t>1998-99 (12,972,000 kwh)</t>
  </si>
  <si>
    <t>2004-05  ($461,911)</t>
  </si>
  <si>
    <t>2005-06  ($715,476)</t>
  </si>
  <si>
    <t>05/06</t>
  </si>
  <si>
    <t>04/05 (485)</t>
  </si>
  <si>
    <t>05/06 (932)</t>
  </si>
  <si>
    <t>05-06</t>
  </si>
  <si>
    <t>(x1 MIL)</t>
  </si>
  <si>
    <t>1 MIL</t>
  </si>
  <si>
    <t>04-05</t>
  </si>
  <si>
    <t xml:space="preserve">  x10,000,000</t>
  </si>
  <si>
    <t>x10</t>
  </si>
  <si>
    <t>x100</t>
  </si>
  <si>
    <t>2003-04  (133 BIL Btus)</t>
  </si>
  <si>
    <t>2004-05  (125 BIL Btus)</t>
  </si>
  <si>
    <t>2005-06  (122 BIL Btus)</t>
  </si>
  <si>
    <t>(FOR MAIN METERS ONLY)</t>
  </si>
  <si>
    <t>GAS (MCF)</t>
  </si>
  <si>
    <t>2006-07 (11,177,000 kwh)</t>
  </si>
  <si>
    <t>Previous five years (average)</t>
  </si>
  <si>
    <t>2006-07  ($770,180)</t>
  </si>
  <si>
    <t>2004-05  ($677,250)</t>
  </si>
  <si>
    <t>2006-2007</t>
  </si>
  <si>
    <t>PREV. 3 YEARS AVERAGE</t>
  </si>
  <si>
    <t>2006-07  ($421,140)</t>
  </si>
  <si>
    <t>PREV. 5 YR. AVG.</t>
  </si>
  <si>
    <t>2006-07  (115 BIL Btus)</t>
  </si>
  <si>
    <t>06/07 (909)</t>
  </si>
  <si>
    <t>04/05</t>
  </si>
  <si>
    <t>06/07</t>
  </si>
  <si>
    <t>06-07</t>
  </si>
  <si>
    <t>14.  Demolished Fieldhouse, pool, gym in fall 2006.</t>
  </si>
  <si>
    <t>Sept</t>
  </si>
  <si>
    <t>Oct</t>
  </si>
  <si>
    <t xml:space="preserve">Nov </t>
  </si>
  <si>
    <t>Dec</t>
  </si>
  <si>
    <t>Jan</t>
  </si>
  <si>
    <t>Feb</t>
  </si>
  <si>
    <t>Mar</t>
  </si>
  <si>
    <t xml:space="preserve">Apr </t>
  </si>
  <si>
    <t>AVG.</t>
  </si>
  <si>
    <t>Quoted Price</t>
  </si>
  <si>
    <t>Natural Gas - $/MCF</t>
  </si>
  <si>
    <t>#2 Fuel Oil - $/Gal</t>
  </si>
  <si>
    <t>#6 Fuel Oil - $/Gal</t>
  </si>
  <si>
    <t>Fuel Used</t>
  </si>
  <si>
    <t>Comparitive Price per Million BTUs</t>
  </si>
  <si>
    <t>Natural Gas</t>
  </si>
  <si>
    <t>#2 Fuel Oil</t>
  </si>
  <si>
    <t>#6 Fuel Oil</t>
  </si>
  <si>
    <t>NOTE:  The costs expressed are for 1,000,000 btus.  The unit price of each fuel is converted to reflect the cost</t>
  </si>
  <si>
    <t xml:space="preserve">              to burn 1 million btus of each fuel type.</t>
  </si>
  <si>
    <t>Premium to Burn  Gas vs. #6 Fuel Oil</t>
  </si>
  <si>
    <t>Total BTU's</t>
  </si>
  <si>
    <t>Premium to burn gas=</t>
  </si>
  <si>
    <t>Aug.</t>
  </si>
  <si>
    <t>Sept.</t>
  </si>
  <si>
    <t>Oct.</t>
  </si>
  <si>
    <t>Nov.</t>
  </si>
  <si>
    <t>Dec.</t>
  </si>
  <si>
    <t>Jan.</t>
  </si>
  <si>
    <t>Feb.</t>
  </si>
  <si>
    <t>2007-2008</t>
  </si>
  <si>
    <t>07/08</t>
  </si>
  <si>
    <t>07-08</t>
  </si>
  <si>
    <t>ELECTRICITY DEMAND KW</t>
  </si>
  <si>
    <t>2007-08 (10,787,257 kwh)</t>
  </si>
  <si>
    <t>2007-08  ($796,219)</t>
  </si>
  <si>
    <t>2006-07  ($836,589)</t>
  </si>
  <si>
    <t>2007-08  ($785,944)</t>
  </si>
  <si>
    <t>2007-08  (126 BIL Btus)</t>
  </si>
  <si>
    <t>2007-08  ($785,994)</t>
  </si>
  <si>
    <t>07/08 (880)</t>
  </si>
  <si>
    <t>15.  Winton Health Center demolished June '08 to make way for new Institute for Global Citizenship (IGC) building.</t>
  </si>
  <si>
    <t>LEONARD CENTER</t>
  </si>
  <si>
    <t>2008-2009</t>
  </si>
  <si>
    <t>08/09</t>
  </si>
  <si>
    <t>08-09</t>
  </si>
  <si>
    <r>
      <t>Nat. Gas @ $x.xx</t>
    </r>
    <r>
      <rPr>
        <sz val="10"/>
        <rFont val="Arial"/>
        <family val="2"/>
      </rPr>
      <t>/mil BTU's=</t>
    </r>
  </si>
  <si>
    <r>
      <t>#6 Fuel Oil @ $x.xx</t>
    </r>
    <r>
      <rPr>
        <sz val="10"/>
        <rFont val="Arial"/>
        <family val="2"/>
      </rPr>
      <t>/mil BTU's=</t>
    </r>
  </si>
  <si>
    <t>2008-09 (12,337,600 kwh)</t>
  </si>
  <si>
    <t>2008-09  ($947,030)</t>
  </si>
  <si>
    <t>2008-09  (85 BIL Btus)</t>
  </si>
  <si>
    <t>2008-09  ($514,774)</t>
  </si>
  <si>
    <t>08/09 (716)</t>
  </si>
  <si>
    <t>BTU/SQ FT</t>
  </si>
  <si>
    <t>18. New Chiller Plant commissioned in June '09</t>
  </si>
  <si>
    <t>17. New Institute for Global Citizenship (IGC) opens in June '09</t>
  </si>
  <si>
    <t>2009-2010</t>
  </si>
  <si>
    <t>09/10</t>
  </si>
  <si>
    <t>09-10</t>
  </si>
  <si>
    <t xml:space="preserve">Chiller #1 Run Time </t>
  </si>
  <si>
    <t>Chiller #2 Run Time</t>
  </si>
  <si>
    <t>Chiller #3 Run Time</t>
  </si>
  <si>
    <t>(85 S. Snelling - Chiller Plant)</t>
  </si>
  <si>
    <t>Total Electricity</t>
  </si>
  <si>
    <t>2009-2010-Chiller</t>
  </si>
  <si>
    <t>2009-2010-Main</t>
  </si>
  <si>
    <t>Estimated</t>
  </si>
  <si>
    <t>- Heating Plant</t>
  </si>
  <si>
    <t>- All other blds</t>
  </si>
  <si>
    <t>- Main meter</t>
  </si>
  <si>
    <t>Budgeted</t>
  </si>
  <si>
    <t>Consumption</t>
  </si>
  <si>
    <t xml:space="preserve">Total </t>
  </si>
  <si>
    <t>Expenditure</t>
  </si>
  <si>
    <t xml:space="preserve">Quantity </t>
  </si>
  <si>
    <t>Consumed</t>
  </si>
  <si>
    <t>Yr. to Date</t>
  </si>
  <si>
    <t>$</t>
  </si>
  <si>
    <t>Quantity</t>
  </si>
  <si>
    <t>SEPT</t>
  </si>
  <si>
    <t>ELECTRICITY DEMAND KW COST - MAIN</t>
  </si>
  <si>
    <t>ELECTRICITY DEMAND KW COST - CHILLER</t>
  </si>
  <si>
    <t>2010-2011</t>
  </si>
  <si>
    <t>2011-2012</t>
  </si>
  <si>
    <t>YTD Cost</t>
  </si>
  <si>
    <t>YTD Savings</t>
  </si>
  <si>
    <t>Chiller #1  Run Time</t>
  </si>
  <si>
    <t>Chiller #2  Run Time</t>
  </si>
  <si>
    <t>Chiller #3  Run Time</t>
  </si>
  <si>
    <t>CREDITS</t>
  </si>
  <si>
    <t>Note: 2010 XCEL Elec. Rate Crdts</t>
  </si>
  <si>
    <t>2009-10 (11,670,400 kwh)</t>
  </si>
  <si>
    <t>2009-10   ($853,399)*</t>
  </si>
  <si>
    <t>* - Credits totalling $53,244 were taken in the last three months of FY due to Xcel overcharging for taxes</t>
  </si>
  <si>
    <t>2009-10  ($853,399)</t>
  </si>
  <si>
    <t>2009-10  ($461,433)</t>
  </si>
  <si>
    <t>2009-10   (78 BIL Btus)</t>
  </si>
  <si>
    <t>09/10 (828)</t>
  </si>
  <si>
    <t>MARKIM HALL</t>
  </si>
  <si>
    <t>*</t>
  </si>
  <si>
    <t>#</t>
  </si>
  <si>
    <t>* June total does not include any chiller plant usage</t>
  </si>
  <si>
    <t>MAIN &amp; CHILLER METERS</t>
  </si>
  <si>
    <t>as read by MAC</t>
  </si>
  <si>
    <t>from Xcel</t>
  </si>
  <si>
    <t>% OF MAIN &amp; CHILLER METERS</t>
  </si>
  <si>
    <t>CHILLER (Xcel meter)</t>
  </si>
  <si>
    <t>MAIN VAULT (Xcel meter)</t>
  </si>
  <si>
    <t>Difference between MAC readings and Xcel readings - Kwh</t>
  </si>
  <si>
    <t>Percentage</t>
  </si>
  <si>
    <t>2010-2011-Chiller</t>
  </si>
  <si>
    <t>2010-2011-Main</t>
  </si>
  <si>
    <t>2001-02 (12,739,200kWh)</t>
  </si>
  <si>
    <t xml:space="preserve"> 2002-03 (13,257,600 kWh)</t>
  </si>
  <si>
    <t>2003-04 (12,969,600kWh)</t>
  </si>
  <si>
    <t>2004-05 (12,944,171kWh)</t>
  </si>
  <si>
    <t>2005-06 (13,058,757kWh)</t>
  </si>
  <si>
    <t>2006-07 (12,399,200kWh)</t>
  </si>
  <si>
    <t>2007-08 (10,787,257kWh)</t>
  </si>
  <si>
    <t>2008-09 (12,337,600kWh)</t>
  </si>
  <si>
    <t>2009-10 (11,670,400kWh)</t>
  </si>
  <si>
    <t>10/11</t>
  </si>
  <si>
    <t>10-11</t>
  </si>
  <si>
    <t>10/11(7870)</t>
  </si>
  <si>
    <t>10/11 (935)</t>
  </si>
  <si>
    <t>Total ELEC.</t>
  </si>
  <si>
    <t>- Contingency</t>
  </si>
  <si>
    <t>2010-11 (11,887,400 kwh)</t>
  </si>
  <si>
    <t>2010-11 (11,887,400kWh)</t>
  </si>
  <si>
    <t>2010-11  ($494,775)</t>
  </si>
  <si>
    <t>MAIN &amp; CHILLER METERS - Xcel</t>
  </si>
  <si>
    <t>2010-11   ($908,134)</t>
  </si>
  <si>
    <t>2010-11   (81 BIL Btus)</t>
  </si>
  <si>
    <t>2010-11  ($908,135)</t>
  </si>
  <si>
    <t>Heating Degree Days</t>
  </si>
  <si>
    <t>Cost of Fuel</t>
  </si>
  <si>
    <t xml:space="preserve">Btus </t>
  </si>
  <si>
    <t>5.  Old Main renovated-additional space and A/C ('93-'94)</t>
  </si>
  <si>
    <t>6.  Rice renovation under way--construction heat throughout the year ('95-'96)</t>
  </si>
  <si>
    <t>1.  Library built and on line ('88)</t>
  </si>
  <si>
    <t>7.  Rice operational with new mechanical systems, Olin's construction heat supplied by gas kiln meter--not reflected in this report ('96-'97)</t>
  </si>
  <si>
    <t>8.  New Residence Hall put on-line in August 1997.   Additional 38,000 square feet of area.  First air conditioned residence hall. ('97-'98)</t>
  </si>
  <si>
    <t>9.  Old Dayton Hall and Student Union torn down summer of 1999.  Temporary heat for Campus Center Construction ('99-'00)</t>
  </si>
  <si>
    <t>10.  Kagin taken out of operation during January 2001.  Campus Center comes on line in January. ('00-'01)</t>
  </si>
  <si>
    <t>12.  Sold 1750 Summit and repurchased 1635 Summit as the new President's house. Completed renovation of Wallace Hall. ('03-'04)</t>
  </si>
  <si>
    <t>13.  Completed renovation of Turck Hall. ('04-'05)</t>
  </si>
  <si>
    <t>16. New Leonard Center opens August '08</t>
  </si>
  <si>
    <r>
      <t>95-96</t>
    </r>
    <r>
      <rPr>
        <sz val="8"/>
        <rFont val="Arial"/>
        <family val="2"/>
      </rPr>
      <t xml:space="preserve"> </t>
    </r>
  </si>
  <si>
    <t xml:space="preserve">96-97 </t>
  </si>
  <si>
    <t xml:space="preserve">97-98 </t>
  </si>
  <si>
    <t xml:space="preserve">99-00 </t>
  </si>
  <si>
    <t xml:space="preserve">00-01 </t>
  </si>
  <si>
    <t xml:space="preserve">01-02 </t>
  </si>
  <si>
    <r>
      <t>03-04</t>
    </r>
    <r>
      <rPr>
        <sz val="8"/>
        <rFont val="Arial"/>
        <family val="2"/>
      </rPr>
      <t xml:space="preserve"> </t>
    </r>
  </si>
  <si>
    <r>
      <t>04-05</t>
    </r>
    <r>
      <rPr>
        <sz val="8"/>
        <rFont val="Arial"/>
        <family val="2"/>
      </rPr>
      <t xml:space="preserve"> </t>
    </r>
  </si>
  <si>
    <t>2011-2012 FUEL &amp; ELECTRICTY CONSUMPTION (FOR MAIN METERS ONLY)</t>
  </si>
  <si>
    <t xml:space="preserve">2011-2012 FUEL &amp; ELECTRICTY CONSUMPTION </t>
  </si>
  <si>
    <t>2011-2012-Chiller</t>
  </si>
  <si>
    <t>2011-2012-Main</t>
  </si>
  <si>
    <t>11/12</t>
  </si>
  <si>
    <t>11-12</t>
  </si>
  <si>
    <t>(125 Snelling Ave S - Main Meter)</t>
  </si>
  <si>
    <t>(85 Snelling Ave S - Chiller Plant)</t>
  </si>
  <si>
    <t>2011-12  ($903,976)</t>
  </si>
  <si>
    <t>2011-12 (11,454,100kWh)</t>
  </si>
  <si>
    <t>2011-12  ($316,037)</t>
  </si>
  <si>
    <t>2011-12   ( 65 BIL Btus)</t>
  </si>
  <si>
    <t>11/12(6302)</t>
  </si>
  <si>
    <t>11/12 (1177)</t>
  </si>
  <si>
    <t>2011-12   ($903,976)</t>
  </si>
  <si>
    <t>2011-12 (11,454,100 kwh)</t>
  </si>
  <si>
    <t>Day</t>
  </si>
  <si>
    <t>Month</t>
  </si>
  <si>
    <t>2012-2013 FUEL &amp; ELECTRICTY CONSUMPTION (FOR MAIN METERS ONLY)</t>
  </si>
  <si>
    <t xml:space="preserve">2012-2013 FUEL &amp; ELECTRICTY CONSUMPTION </t>
  </si>
  <si>
    <t>2012-2013-Chiller</t>
  </si>
  <si>
    <t>2012-2013-Main</t>
  </si>
  <si>
    <t>PREV. 4 YRS. AVG. MAIN</t>
  </si>
  <si>
    <t>PREV. 4 YRS. AVG. CHILLER</t>
  </si>
  <si>
    <t>2012-2013</t>
  </si>
  <si>
    <t>12/13</t>
  </si>
  <si>
    <t>18 Year Avg.</t>
  </si>
  <si>
    <t>12-13</t>
  </si>
  <si>
    <t>Heating Fuel Cost Comparisons - 2012/13</t>
  </si>
  <si>
    <t>2012-13</t>
  </si>
  <si>
    <t>FY 2012/2013</t>
  </si>
  <si>
    <t>6/1/12 - 5/31/13</t>
  </si>
  <si>
    <t>JUNE 2012 - MAY 2013</t>
  </si>
  <si>
    <t>2012-13  ($979,799)</t>
  </si>
  <si>
    <t>2012-13 (11,916,100kWh)</t>
  </si>
  <si>
    <t>2012-13  ($393,809)</t>
  </si>
  <si>
    <t>2012-13  ($393,810)</t>
  </si>
  <si>
    <t>2012-13   ( 82 BIL Btus)</t>
  </si>
  <si>
    <t>12/13(7562)</t>
  </si>
  <si>
    <t>12/13 (1242)</t>
  </si>
  <si>
    <t>2012-13 (11,916,100 kwh)</t>
  </si>
  <si>
    <t>20. Music Building move in, July 2012</t>
  </si>
  <si>
    <t>19. Janet Wallace Fine Arts Complex remodel started (Music Building) January 2011</t>
  </si>
  <si>
    <t>21. Art Building remodel and boiler replacement started January 2013</t>
  </si>
  <si>
    <t>22. Boiler replacement complete, online November 2013</t>
  </si>
  <si>
    <t>23. ART Building move in, January 2014</t>
  </si>
  <si>
    <t>N/A</t>
  </si>
  <si>
    <t>NOTE: #6 fuel oil use discontinued Spring 2013</t>
  </si>
  <si>
    <t>.</t>
  </si>
  <si>
    <t>2012-13   ($979,799)</t>
  </si>
  <si>
    <t>LIBRARY (minus OM, Kirk)</t>
  </si>
  <si>
    <t>KAGIN  (minus Markim Hall)</t>
  </si>
</sst>
</file>

<file path=xl/styles.xml><?xml version="1.0" encoding="utf-8"?>
<styleSheet xmlns="http://schemas.openxmlformats.org/spreadsheetml/2006/main">
  <numFmts count="17">
    <numFmt numFmtId="5" formatCode="&quot;$&quot;#,##0_);\(&quot;$&quot;#,##0\)"/>
    <numFmt numFmtId="6" formatCode="&quot;$&quot;#,##0_);[Red]\(&quot;$&quot;#,##0\)"/>
    <numFmt numFmtId="7" formatCode="&quot;$&quot;#,##0.00_);\(&quot;$&quot;#,##0.00\)"/>
    <numFmt numFmtId="8" formatCode="&quot;$&quot;#,##0.00_);[Red]\(&quot;$&quot;#,##0.00\)"/>
    <numFmt numFmtId="41" formatCode="_(* #,##0_);_(* \(#,##0\);_(* &quot;-&quot;_);_(@_)"/>
    <numFmt numFmtId="164" formatCode="0.000_)"/>
    <numFmt numFmtId="165" formatCode="0.0000_)"/>
    <numFmt numFmtId="166" formatCode="0.0%"/>
    <numFmt numFmtId="167" formatCode="&quot;$&quot;#,##0.0000_);\(&quot;$&quot;#,##0.0000\)"/>
    <numFmt numFmtId="168" formatCode="&quot;$&quot;#,##0.00"/>
    <numFmt numFmtId="169" formatCode="&quot;$&quot;#,##0.0000_);[Red]\(&quot;$&quot;#,##0.0000\)"/>
    <numFmt numFmtId="170" formatCode="&quot;$&quot;#,##0.000000_);[Red]\(&quot;$&quot;#,##0.000000\)"/>
    <numFmt numFmtId="171" formatCode="0.000000_);[Red]\(0.000000\)"/>
    <numFmt numFmtId="172" formatCode="#,##0.000_);[Red]\(#,##0.000\)"/>
    <numFmt numFmtId="173" formatCode="0.000"/>
    <numFmt numFmtId="174" formatCode="#,##0.0000_);[Red]\(#,##0.0000\)"/>
    <numFmt numFmtId="175" formatCode="&quot;$&quot;#,##0"/>
  </numFmts>
  <fonts count="70">
    <font>
      <sz val="10"/>
      <name val="Arial"/>
    </font>
    <font>
      <b/>
      <sz val="10"/>
      <name val="Arial"/>
      <family val="2"/>
    </font>
    <font>
      <i/>
      <sz val="10"/>
      <name val="Arial"/>
      <family val="2"/>
    </font>
    <font>
      <sz val="10"/>
      <name val="Arial"/>
      <family val="2"/>
    </font>
    <font>
      <sz val="12"/>
      <name val="Helv"/>
    </font>
    <font>
      <b/>
      <sz val="10"/>
      <color indexed="17"/>
      <name val="Arial"/>
      <family val="2"/>
    </font>
    <font>
      <b/>
      <sz val="10"/>
      <name val="Arial"/>
      <family val="2"/>
    </font>
    <font>
      <b/>
      <sz val="10"/>
      <color indexed="18"/>
      <name val="Arial"/>
      <family val="2"/>
    </font>
    <font>
      <i/>
      <sz val="9"/>
      <name val="Arial"/>
      <family val="2"/>
    </font>
    <font>
      <b/>
      <i/>
      <sz val="9"/>
      <name val="Arial"/>
      <family val="2"/>
    </font>
    <font>
      <b/>
      <sz val="11"/>
      <name val="Arial"/>
      <family val="2"/>
    </font>
    <font>
      <b/>
      <i/>
      <sz val="9"/>
      <color indexed="23"/>
      <name val="Arial"/>
      <family val="2"/>
    </font>
    <font>
      <b/>
      <sz val="11"/>
      <name val="Arial"/>
      <family val="2"/>
    </font>
    <font>
      <b/>
      <i/>
      <sz val="9"/>
      <color indexed="23"/>
      <name val="Arial"/>
      <family val="2"/>
    </font>
    <font>
      <b/>
      <i/>
      <sz val="9"/>
      <name val="Arial"/>
      <family val="2"/>
    </font>
    <font>
      <b/>
      <sz val="11"/>
      <name val="Arial"/>
      <family val="2"/>
    </font>
    <font>
      <u val="singleAccounting"/>
      <sz val="10"/>
      <name val="Arial"/>
      <family val="2"/>
    </font>
    <font>
      <u val="doubleAccounting"/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0"/>
      <name val="Antique Olive"/>
      <family val="2"/>
    </font>
    <font>
      <sz val="8"/>
      <name val="Arial"/>
      <family val="2"/>
    </font>
    <font>
      <sz val="10"/>
      <name val="Arial"/>
      <family val="2"/>
    </font>
    <font>
      <b/>
      <sz val="9"/>
      <name val="Times New Roman"/>
      <family val="1"/>
    </font>
    <font>
      <sz val="9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8.5"/>
      <name val="Times New Roman"/>
      <family val="1"/>
    </font>
    <font>
      <sz val="8.5"/>
      <name val="Times New Roman"/>
      <family val="1"/>
    </font>
    <font>
      <b/>
      <i/>
      <u/>
      <sz val="8.5"/>
      <name val="Times New Roman"/>
      <family val="1"/>
    </font>
    <font>
      <b/>
      <i/>
      <sz val="8.5"/>
      <name val="Times New Roman"/>
      <family val="1"/>
    </font>
    <font>
      <b/>
      <sz val="6"/>
      <name val="Times New Roman"/>
      <family val="1"/>
    </font>
    <font>
      <sz val="6"/>
      <name val="Times New Roman"/>
      <family val="1"/>
    </font>
    <font>
      <b/>
      <sz val="8"/>
      <name val="Arial"/>
      <family val="2"/>
    </font>
    <font>
      <sz val="9"/>
      <color indexed="10"/>
      <name val="Times New Roman"/>
      <family val="1"/>
    </font>
    <font>
      <b/>
      <sz val="9"/>
      <color indexed="10"/>
      <name val="Times New Roman"/>
      <family val="1"/>
    </font>
    <font>
      <b/>
      <i/>
      <sz val="9"/>
      <color indexed="10"/>
      <name val="Times New Roman"/>
      <family val="1"/>
    </font>
    <font>
      <sz val="10"/>
      <color indexed="10"/>
      <name val="Arial"/>
      <family val="2"/>
    </font>
    <font>
      <sz val="10"/>
      <color indexed="10"/>
      <name val="Arial"/>
      <family val="2"/>
    </font>
    <font>
      <b/>
      <sz val="10"/>
      <color indexed="10"/>
      <name val="Arial"/>
      <family val="2"/>
    </font>
    <font>
      <b/>
      <sz val="8"/>
      <name val="Times New Roman"/>
      <family val="1"/>
    </font>
    <font>
      <b/>
      <i/>
      <sz val="10"/>
      <color indexed="10"/>
      <name val="Arial"/>
      <family val="2"/>
    </font>
    <font>
      <sz val="8"/>
      <color indexed="10"/>
      <name val="Arial"/>
      <family val="2"/>
    </font>
    <font>
      <b/>
      <sz val="8"/>
      <name val="Arial"/>
      <family val="2"/>
    </font>
    <font>
      <b/>
      <u/>
      <sz val="12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sz val="8"/>
      <name val="Arial"/>
      <family val="2"/>
    </font>
    <font>
      <sz val="10"/>
      <color indexed="10"/>
      <name val="Arial"/>
      <family val="2"/>
    </font>
    <font>
      <sz val="10"/>
      <color indexed="17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name val="Arial"/>
      <family val="2"/>
    </font>
    <font>
      <sz val="10"/>
      <color indexed="10"/>
      <name val="Times New Roman"/>
      <family val="1"/>
    </font>
    <font>
      <b/>
      <sz val="9"/>
      <color indexed="10"/>
      <name val="Arial"/>
      <family val="2"/>
    </font>
    <font>
      <sz val="12"/>
      <color rgb="FFFF0000"/>
      <name val="Arial"/>
      <family val="2"/>
    </font>
    <font>
      <b/>
      <i/>
      <sz val="10"/>
      <name val="Times New Roman"/>
      <family val="1"/>
    </font>
    <font>
      <b/>
      <u val="double"/>
      <sz val="12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2"/>
      <color indexed="10"/>
      <name val="Times New Roman"/>
      <family val="1"/>
    </font>
    <font>
      <b/>
      <sz val="12"/>
      <color indexed="10"/>
      <name val="Times New Roman"/>
      <family val="1"/>
    </font>
    <font>
      <b/>
      <i/>
      <u/>
      <sz val="12"/>
      <color indexed="10"/>
      <name val="Times New Roman"/>
      <family val="1"/>
    </font>
    <font>
      <b/>
      <i/>
      <sz val="12"/>
      <color indexed="10"/>
      <name val="Times New Roman"/>
      <family val="1"/>
    </font>
    <font>
      <sz val="9"/>
      <name val="Arial"/>
      <family val="2"/>
    </font>
    <font>
      <b/>
      <sz val="8"/>
      <color indexed="10"/>
      <name val="Arial"/>
      <family val="2"/>
    </font>
  </fonts>
  <fills count="9">
    <fill>
      <patternFill patternType="none"/>
    </fill>
    <fill>
      <patternFill patternType="gray125"/>
    </fill>
    <fill>
      <patternFill patternType="gray125">
        <fgColor indexed="9"/>
        <bgColor indexed="9"/>
      </patternFill>
    </fill>
    <fill>
      <patternFill patternType="solid">
        <fgColor indexed="9"/>
        <bgColor indexed="8"/>
      </patternFill>
    </fill>
    <fill>
      <patternFill patternType="solid">
        <fgColor indexed="65"/>
        <bgColor indexed="8"/>
      </patternFill>
    </fill>
    <fill>
      <patternFill patternType="gray125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0" tint="-0.14999847407452621"/>
        <bgColor indexed="64"/>
      </patternFill>
    </fill>
  </fills>
  <borders count="68">
    <border>
      <left/>
      <right/>
      <top/>
      <bottom/>
      <diagonal/>
    </border>
    <border>
      <left/>
      <right/>
      <top/>
      <bottom style="medium">
        <color indexed="18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612">
    <xf numFmtId="0" fontId="0" fillId="0" borderId="0" xfId="0"/>
    <xf numFmtId="37" fontId="4" fillId="0" borderId="0" xfId="2" applyNumberFormat="1" applyProtection="1"/>
    <xf numFmtId="0" fontId="0" fillId="0" borderId="0" xfId="0" applyFill="1" applyBorder="1" applyAlignment="1"/>
    <xf numFmtId="37" fontId="0" fillId="0" borderId="0" xfId="0" applyNumberFormat="1" applyFill="1" applyBorder="1" applyAlignment="1" applyProtection="1"/>
    <xf numFmtId="7" fontId="0" fillId="0" borderId="0" xfId="0" applyNumberFormat="1" applyFill="1" applyBorder="1" applyAlignment="1" applyProtection="1"/>
    <xf numFmtId="0" fontId="5" fillId="0" borderId="0" xfId="0" applyFont="1" applyFill="1" applyBorder="1" applyAlignment="1">
      <alignment horizontal="left"/>
    </xf>
    <xf numFmtId="37" fontId="2" fillId="0" borderId="0" xfId="0" applyNumberFormat="1" applyFont="1" applyFill="1" applyBorder="1" applyAlignment="1" applyProtection="1">
      <alignment horizontal="left"/>
    </xf>
    <xf numFmtId="0" fontId="2" fillId="0" borderId="0" xfId="0" applyFont="1" applyFill="1" applyBorder="1" applyAlignment="1" applyProtection="1">
      <alignment horizontal="left"/>
    </xf>
    <xf numFmtId="0" fontId="2" fillId="0" borderId="0" xfId="0" applyFont="1" applyFill="1" applyBorder="1" applyAlignment="1">
      <alignment horizontal="left"/>
    </xf>
    <xf numFmtId="0" fontId="0" fillId="0" borderId="0" xfId="0" applyNumberFormat="1" applyFill="1" applyBorder="1" applyAlignment="1"/>
    <xf numFmtId="0" fontId="7" fillId="0" borderId="0" xfId="0" applyFont="1" applyFill="1" applyBorder="1" applyAlignment="1">
      <alignment horizontal="left"/>
    </xf>
    <xf numFmtId="0" fontId="8" fillId="0" borderId="0" xfId="0" applyFont="1" applyFill="1" applyBorder="1" applyAlignment="1">
      <alignment horizontal="right"/>
    </xf>
    <xf numFmtId="37" fontId="8" fillId="0" borderId="1" xfId="0" applyNumberFormat="1" applyFont="1" applyFill="1" applyBorder="1" applyAlignment="1" applyProtection="1">
      <alignment horizontal="right"/>
    </xf>
    <xf numFmtId="0" fontId="9" fillId="0" borderId="0" xfId="0" applyFont="1" applyFill="1" applyBorder="1" applyAlignment="1">
      <alignment horizontal="right"/>
    </xf>
    <xf numFmtId="0" fontId="9" fillId="0" borderId="1" xfId="0" applyFont="1" applyFill="1" applyBorder="1" applyAlignment="1" applyProtection="1">
      <alignment horizontal="right"/>
    </xf>
    <xf numFmtId="37" fontId="6" fillId="0" borderId="0" xfId="0" applyNumberFormat="1" applyFont="1" applyFill="1" applyBorder="1" applyAlignment="1" applyProtection="1">
      <alignment horizontal="left"/>
    </xf>
    <xf numFmtId="37" fontId="0" fillId="0" borderId="0" xfId="0" applyNumberFormat="1" applyFill="1" applyBorder="1" applyAlignment="1" applyProtection="1">
      <alignment horizontal="left"/>
    </xf>
    <xf numFmtId="0" fontId="0" fillId="0" borderId="0" xfId="0" applyFill="1" applyBorder="1" applyAlignment="1" applyProtection="1">
      <alignment horizontal="left"/>
    </xf>
    <xf numFmtId="0" fontId="0" fillId="0" borderId="0" xfId="0" applyFill="1" applyBorder="1" applyAlignment="1">
      <alignment horizontal="left"/>
    </xf>
    <xf numFmtId="37" fontId="10" fillId="0" borderId="2" xfId="0" applyNumberFormat="1" applyFont="1" applyFill="1" applyBorder="1" applyAlignment="1" applyProtection="1">
      <alignment horizontal="left"/>
    </xf>
    <xf numFmtId="37" fontId="6" fillId="0" borderId="2" xfId="0" applyNumberFormat="1" applyFont="1" applyFill="1" applyBorder="1" applyAlignment="1" applyProtection="1">
      <alignment horizontal="center"/>
    </xf>
    <xf numFmtId="0" fontId="6" fillId="0" borderId="2" xfId="0" applyFont="1" applyFill="1" applyBorder="1" applyAlignment="1" applyProtection="1">
      <alignment horizontal="center"/>
    </xf>
    <xf numFmtId="0" fontId="6" fillId="0" borderId="3" xfId="0" applyFont="1" applyFill="1" applyBorder="1" applyAlignment="1" applyProtection="1">
      <alignment horizontal="left"/>
    </xf>
    <xf numFmtId="37" fontId="0" fillId="0" borderId="3" xfId="0" applyNumberFormat="1" applyFill="1" applyBorder="1" applyAlignment="1" applyProtection="1"/>
    <xf numFmtId="37" fontId="6" fillId="0" borderId="4" xfId="0" applyNumberFormat="1" applyFont="1" applyFill="1" applyBorder="1" applyAlignment="1" applyProtection="1">
      <alignment horizontal="center"/>
    </xf>
    <xf numFmtId="0" fontId="6" fillId="0" borderId="4" xfId="0" applyFont="1" applyFill="1" applyBorder="1" applyAlignment="1" applyProtection="1">
      <alignment horizontal="center"/>
    </xf>
    <xf numFmtId="7" fontId="0" fillId="0" borderId="5" xfId="0" applyNumberFormat="1" applyFill="1" applyBorder="1" applyAlignment="1" applyProtection="1"/>
    <xf numFmtId="0" fontId="2" fillId="0" borderId="5" xfId="0" applyFont="1" applyFill="1" applyBorder="1" applyAlignment="1" applyProtection="1">
      <alignment horizontal="left"/>
    </xf>
    <xf numFmtId="0" fontId="11" fillId="0" borderId="0" xfId="0" applyFont="1" applyFill="1" applyBorder="1" applyAlignment="1">
      <alignment horizontal="right"/>
    </xf>
    <xf numFmtId="0" fontId="12" fillId="0" borderId="0" xfId="0" applyFont="1" applyFill="1" applyBorder="1" applyAlignment="1" applyProtection="1">
      <alignment horizontal="left"/>
    </xf>
    <xf numFmtId="37" fontId="12" fillId="0" borderId="4" xfId="0" applyNumberFormat="1" applyFont="1" applyFill="1" applyBorder="1" applyAlignment="1" applyProtection="1">
      <alignment horizontal="left"/>
    </xf>
    <xf numFmtId="0" fontId="13" fillId="0" borderId="0" xfId="0" applyFont="1" applyFill="1" applyBorder="1" applyAlignment="1" applyProtection="1">
      <alignment horizontal="right"/>
    </xf>
    <xf numFmtId="0" fontId="13" fillId="0" borderId="0" xfId="0" applyFont="1" applyFill="1" applyBorder="1" applyAlignment="1">
      <alignment horizontal="right"/>
    </xf>
    <xf numFmtId="37" fontId="13" fillId="0" borderId="4" xfId="0" applyNumberFormat="1" applyFont="1" applyFill="1" applyBorder="1" applyAlignment="1" applyProtection="1">
      <alignment horizontal="right"/>
    </xf>
    <xf numFmtId="0" fontId="14" fillId="0" borderId="0" xfId="0" applyFont="1" applyFill="1" applyBorder="1" applyAlignment="1" applyProtection="1">
      <alignment horizontal="right"/>
    </xf>
    <xf numFmtId="0" fontId="14" fillId="0" borderId="0" xfId="0" applyFont="1" applyFill="1" applyBorder="1" applyAlignment="1">
      <alignment horizontal="right"/>
    </xf>
    <xf numFmtId="0" fontId="14" fillId="0" borderId="4" xfId="0" applyFont="1" applyFill="1" applyBorder="1" applyAlignment="1" applyProtection="1">
      <alignment horizontal="right"/>
    </xf>
    <xf numFmtId="0" fontId="15" fillId="0" borderId="0" xfId="0" applyFont="1" applyFill="1" applyBorder="1" applyAlignment="1" applyProtection="1">
      <alignment horizontal="left"/>
    </xf>
    <xf numFmtId="37" fontId="15" fillId="0" borderId="0" xfId="0" applyNumberFormat="1" applyFont="1" applyFill="1" applyBorder="1" applyAlignment="1" applyProtection="1">
      <alignment horizontal="left"/>
    </xf>
    <xf numFmtId="41" fontId="16" fillId="0" borderId="0" xfId="0" applyNumberFormat="1" applyFont="1" applyFill="1" applyBorder="1" applyAlignment="1">
      <alignment horizontal="center"/>
    </xf>
    <xf numFmtId="41" fontId="16" fillId="0" borderId="0" xfId="0" applyNumberFormat="1" applyFont="1" applyFill="1" applyBorder="1" applyAlignment="1" applyProtection="1">
      <alignment horizontal="center"/>
    </xf>
    <xf numFmtId="0" fontId="0" fillId="0" borderId="0" xfId="0" applyAlignment="1" applyProtection="1">
      <alignment horizontal="right"/>
    </xf>
    <xf numFmtId="0" fontId="0" fillId="0" borderId="0" xfId="0" applyFill="1" applyBorder="1" applyAlignment="1" applyProtection="1"/>
    <xf numFmtId="0" fontId="0" fillId="0" borderId="7" xfId="0" applyFill="1" applyBorder="1" applyAlignment="1"/>
    <xf numFmtId="0" fontId="18" fillId="0" borderId="4" xfId="0" applyFont="1" applyFill="1" applyBorder="1" applyAlignment="1">
      <alignment horizontal="center"/>
    </xf>
    <xf numFmtId="0" fontId="18" fillId="0" borderId="4" xfId="0" applyFont="1" applyFill="1" applyBorder="1" applyAlignment="1" applyProtection="1">
      <alignment horizontal="center"/>
    </xf>
    <xf numFmtId="49" fontId="18" fillId="0" borderId="4" xfId="0" applyNumberFormat="1" applyFont="1" applyFill="1" applyBorder="1" applyAlignment="1" applyProtection="1">
      <alignment horizontal="center"/>
    </xf>
    <xf numFmtId="0" fontId="18" fillId="0" borderId="6" xfId="0" applyFont="1" applyFill="1" applyBorder="1" applyAlignment="1">
      <alignment horizontal="center"/>
    </xf>
    <xf numFmtId="0" fontId="18" fillId="0" borderId="6" xfId="0" applyFont="1" applyFill="1" applyBorder="1" applyAlignment="1" applyProtection="1">
      <alignment horizontal="centerContinuous"/>
    </xf>
    <xf numFmtId="0" fontId="18" fillId="0" borderId="6" xfId="0" applyFont="1" applyFill="1" applyBorder="1" applyAlignment="1">
      <alignment horizontal="centerContinuous"/>
    </xf>
    <xf numFmtId="0" fontId="1" fillId="0" borderId="0" xfId="0" applyFont="1"/>
    <xf numFmtId="0" fontId="1" fillId="0" borderId="0" xfId="0" applyFont="1" applyAlignment="1" applyProtection="1">
      <alignment horizontal="right"/>
    </xf>
    <xf numFmtId="37" fontId="1" fillId="0" borderId="0" xfId="0" applyNumberFormat="1" applyFont="1" applyAlignment="1" applyProtection="1">
      <alignment horizontal="right"/>
    </xf>
    <xf numFmtId="37" fontId="1" fillId="0" borderId="0" xfId="0" applyNumberFormat="1" applyFont="1" applyAlignment="1" applyProtection="1">
      <alignment horizontal="center"/>
    </xf>
    <xf numFmtId="49" fontId="1" fillId="0" borderId="0" xfId="0" applyNumberFormat="1" applyFont="1" applyAlignment="1" applyProtection="1">
      <alignment horizontal="right"/>
    </xf>
    <xf numFmtId="5" fontId="0" fillId="0" borderId="0" xfId="0" applyNumberFormat="1" applyFill="1" applyBorder="1" applyAlignment="1" applyProtection="1"/>
    <xf numFmtId="165" fontId="0" fillId="0" borderId="0" xfId="0" applyNumberFormat="1" applyFill="1" applyBorder="1" applyAlignment="1" applyProtection="1"/>
    <xf numFmtId="164" fontId="0" fillId="0" borderId="0" xfId="0" applyNumberFormat="1" applyFill="1" applyBorder="1" applyAlignment="1" applyProtection="1"/>
    <xf numFmtId="167" fontId="0" fillId="0" borderId="0" xfId="0" applyNumberFormat="1" applyFill="1" applyBorder="1" applyAlignment="1" applyProtection="1"/>
    <xf numFmtId="0" fontId="19" fillId="0" borderId="0" xfId="0" applyFont="1" applyFill="1" applyBorder="1" applyAlignment="1" applyProtection="1">
      <alignment horizontal="left"/>
    </xf>
    <xf numFmtId="0" fontId="19" fillId="0" borderId="4" xfId="0" applyFont="1" applyFill="1" applyBorder="1" applyAlignment="1" applyProtection="1">
      <alignment horizontal="left"/>
    </xf>
    <xf numFmtId="0" fontId="0" fillId="0" borderId="0" xfId="0" quotePrefix="1" applyFill="1" applyBorder="1" applyAlignment="1" applyProtection="1">
      <alignment horizontal="left"/>
    </xf>
    <xf numFmtId="0" fontId="18" fillId="0" borderId="0" xfId="0" applyFont="1" applyFill="1" applyBorder="1" applyAlignment="1">
      <alignment horizontal="center"/>
    </xf>
    <xf numFmtId="37" fontId="18" fillId="0" borderId="0" xfId="0" applyNumberFormat="1" applyFont="1" applyFill="1" applyBorder="1" applyAlignment="1" applyProtection="1">
      <alignment horizontal="center"/>
    </xf>
    <xf numFmtId="37" fontId="18" fillId="0" borderId="4" xfId="0" applyNumberFormat="1" applyFont="1" applyFill="1" applyBorder="1" applyAlignment="1" applyProtection="1">
      <alignment horizontal="center"/>
    </xf>
    <xf numFmtId="0" fontId="18" fillId="0" borderId="0" xfId="0" applyFont="1" applyFill="1" applyBorder="1" applyAlignment="1" applyProtection="1">
      <alignment horizontal="center"/>
    </xf>
    <xf numFmtId="5" fontId="18" fillId="0" borderId="4" xfId="0" applyNumberFormat="1" applyFont="1" applyFill="1" applyBorder="1" applyAlignment="1" applyProtection="1">
      <alignment horizontal="center"/>
    </xf>
    <xf numFmtId="165" fontId="18" fillId="0" borderId="4" xfId="0" applyNumberFormat="1" applyFont="1" applyFill="1" applyBorder="1" applyAlignment="1" applyProtection="1">
      <alignment horizontal="center"/>
    </xf>
    <xf numFmtId="164" fontId="18" fillId="0" borderId="4" xfId="0" applyNumberFormat="1" applyFont="1" applyFill="1" applyBorder="1" applyAlignment="1" applyProtection="1">
      <alignment horizontal="center"/>
    </xf>
    <xf numFmtId="37" fontId="20" fillId="0" borderId="0" xfId="2" applyNumberFormat="1" applyFont="1" applyProtection="1"/>
    <xf numFmtId="0" fontId="0" fillId="0" borderId="0" xfId="0" applyAlignment="1">
      <alignment horizontal="center"/>
    </xf>
    <xf numFmtId="37" fontId="0" fillId="0" borderId="6" xfId="0" applyNumberFormat="1" applyFill="1" applyBorder="1" applyAlignment="1" applyProtection="1"/>
    <xf numFmtId="5" fontId="0" fillId="0" borderId="6" xfId="0" applyNumberFormat="1" applyFill="1" applyBorder="1" applyAlignment="1" applyProtection="1"/>
    <xf numFmtId="165" fontId="0" fillId="0" borderId="6" xfId="0" applyNumberFormat="1" applyFill="1" applyBorder="1" applyAlignment="1" applyProtection="1"/>
    <xf numFmtId="164" fontId="0" fillId="0" borderId="6" xfId="0" applyNumberFormat="1" applyFill="1" applyBorder="1" applyAlignment="1" applyProtection="1"/>
    <xf numFmtId="167" fontId="0" fillId="0" borderId="6" xfId="0" applyNumberFormat="1" applyFill="1" applyBorder="1" applyAlignment="1" applyProtection="1"/>
    <xf numFmtId="0" fontId="0" fillId="0" borderId="6" xfId="0" applyFill="1" applyBorder="1" applyAlignment="1" applyProtection="1">
      <alignment horizontal="left"/>
    </xf>
    <xf numFmtId="7" fontId="20" fillId="0" borderId="0" xfId="2" applyNumberFormat="1" applyFont="1" applyProtection="1"/>
    <xf numFmtId="168" fontId="0" fillId="0" borderId="0" xfId="0" applyNumberFormat="1" applyFill="1" applyBorder="1" applyAlignment="1" applyProtection="1"/>
    <xf numFmtId="37" fontId="0" fillId="0" borderId="0" xfId="0" applyNumberFormat="1"/>
    <xf numFmtId="5" fontId="18" fillId="0" borderId="0" xfId="0" applyNumberFormat="1" applyFont="1" applyFill="1" applyBorder="1" applyAlignment="1" applyProtection="1">
      <alignment horizontal="center"/>
    </xf>
    <xf numFmtId="37" fontId="0" fillId="0" borderId="0" xfId="2" applyNumberFormat="1" applyFont="1" applyFill="1" applyBorder="1" applyAlignment="1" applyProtection="1"/>
    <xf numFmtId="7" fontId="0" fillId="0" borderId="0" xfId="0" applyNumberFormat="1"/>
    <xf numFmtId="49" fontId="18" fillId="0" borderId="4" xfId="0" quotePrefix="1" applyNumberFormat="1" applyFont="1" applyFill="1" applyBorder="1" applyAlignment="1" applyProtection="1">
      <alignment horizontal="center"/>
    </xf>
    <xf numFmtId="0" fontId="22" fillId="0" borderId="0" xfId="0" applyFont="1"/>
    <xf numFmtId="16" fontId="0" fillId="0" borderId="0" xfId="0" quotePrefix="1" applyNumberFormat="1" applyFill="1" applyBorder="1" applyAlignment="1" applyProtection="1">
      <alignment horizontal="left"/>
    </xf>
    <xf numFmtId="0" fontId="1" fillId="0" borderId="0" xfId="0" quotePrefix="1" applyFont="1" applyAlignment="1" applyProtection="1">
      <alignment horizontal="right"/>
    </xf>
    <xf numFmtId="8" fontId="0" fillId="0" borderId="0" xfId="0" applyNumberFormat="1"/>
    <xf numFmtId="37" fontId="1" fillId="0" borderId="0" xfId="0" applyNumberFormat="1" applyFont="1" applyFill="1" applyBorder="1" applyAlignment="1" applyProtection="1">
      <alignment horizontal="center"/>
    </xf>
    <xf numFmtId="0" fontId="1" fillId="0" borderId="0" xfId="0" applyFont="1" applyFill="1" applyBorder="1" applyAlignment="1" applyProtection="1">
      <alignment horizontal="center"/>
    </xf>
    <xf numFmtId="0" fontId="3" fillId="0" borderId="0" xfId="0" applyFont="1"/>
    <xf numFmtId="37" fontId="6" fillId="0" borderId="0" xfId="0" applyNumberFormat="1" applyFont="1" applyFill="1" applyBorder="1" applyAlignment="1" applyProtection="1">
      <alignment horizontal="center"/>
    </xf>
    <xf numFmtId="0" fontId="6" fillId="0" borderId="0" xfId="0" applyFont="1" applyFill="1" applyBorder="1" applyAlignment="1" applyProtection="1">
      <alignment horizontal="center"/>
    </xf>
    <xf numFmtId="0" fontId="26" fillId="0" borderId="0" xfId="0" applyFont="1"/>
    <xf numFmtId="5" fontId="1" fillId="0" borderId="0" xfId="0" applyNumberFormat="1" applyFont="1" applyFill="1" applyBorder="1" applyAlignment="1" applyProtection="1">
      <alignment horizontal="center"/>
    </xf>
    <xf numFmtId="165" fontId="1" fillId="0" borderId="0" xfId="0" applyNumberFormat="1" applyFont="1" applyFill="1" applyBorder="1" applyAlignment="1" applyProtection="1">
      <alignment horizontal="center"/>
    </xf>
    <xf numFmtId="164" fontId="1" fillId="0" borderId="0" xfId="0" applyNumberFormat="1" applyFont="1" applyFill="1" applyBorder="1" applyAlignment="1" applyProtection="1">
      <alignment horizontal="center"/>
    </xf>
    <xf numFmtId="0" fontId="26" fillId="0" borderId="0" xfId="0" applyFont="1" applyFill="1" applyBorder="1" applyAlignment="1"/>
    <xf numFmtId="165" fontId="1" fillId="0" borderId="0" xfId="0" applyNumberFormat="1" applyFont="1" applyFill="1" applyBorder="1" applyAlignment="1" applyProtection="1"/>
    <xf numFmtId="0" fontId="3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3" fontId="0" fillId="0" borderId="0" xfId="0" applyNumberFormat="1" applyFill="1" applyBorder="1" applyAlignment="1" applyProtection="1">
      <alignment horizontal="center"/>
    </xf>
    <xf numFmtId="0" fontId="26" fillId="0" borderId="0" xfId="0" applyFont="1" applyFill="1" applyBorder="1" applyAlignment="1">
      <alignment horizontal="center"/>
    </xf>
    <xf numFmtId="0" fontId="28" fillId="0" borderId="0" xfId="2" applyFont="1"/>
    <xf numFmtId="0" fontId="27" fillId="0" borderId="0" xfId="2" applyFont="1"/>
    <xf numFmtId="37" fontId="27" fillId="0" borderId="0" xfId="2" applyNumberFormat="1" applyFont="1" applyProtection="1"/>
    <xf numFmtId="37" fontId="27" fillId="0" borderId="0" xfId="2" applyNumberFormat="1" applyFont="1" applyAlignment="1" applyProtection="1">
      <alignment horizontal="left"/>
    </xf>
    <xf numFmtId="37" fontId="28" fillId="0" borderId="0" xfId="2" applyNumberFormat="1" applyFont="1" applyProtection="1"/>
    <xf numFmtId="7" fontId="28" fillId="0" borderId="0" xfId="2" applyNumberFormat="1" applyFont="1" applyProtection="1"/>
    <xf numFmtId="7" fontId="27" fillId="0" borderId="0" xfId="2" applyNumberFormat="1" applyFont="1" applyProtection="1"/>
    <xf numFmtId="165" fontId="27" fillId="0" borderId="0" xfId="2" applyNumberFormat="1" applyFont="1" applyProtection="1"/>
    <xf numFmtId="165" fontId="28" fillId="0" borderId="0" xfId="2" applyNumberFormat="1" applyFont="1" applyProtection="1"/>
    <xf numFmtId="41" fontId="28" fillId="0" borderId="0" xfId="2" applyNumberFormat="1" applyFont="1" applyProtection="1"/>
    <xf numFmtId="0" fontId="28" fillId="0" borderId="0" xfId="2" applyFont="1" applyAlignment="1" applyProtection="1">
      <alignment horizontal="right"/>
    </xf>
    <xf numFmtId="37" fontId="6" fillId="0" borderId="6" xfId="0" applyNumberFormat="1" applyFont="1" applyFill="1" applyBorder="1" applyAlignment="1">
      <alignment horizontal="centerContinuous"/>
    </xf>
    <xf numFmtId="37" fontId="0" fillId="0" borderId="0" xfId="0" applyNumberFormat="1" applyFill="1" applyBorder="1" applyAlignment="1"/>
    <xf numFmtId="38" fontId="27" fillId="0" borderId="0" xfId="2" applyNumberFormat="1" applyFont="1" applyAlignment="1" applyProtection="1">
      <alignment horizontal="left"/>
    </xf>
    <xf numFmtId="38" fontId="28" fillId="0" borderId="0" xfId="2" applyNumberFormat="1" applyFont="1" applyProtection="1"/>
    <xf numFmtId="38" fontId="27" fillId="0" borderId="0" xfId="2" applyNumberFormat="1" applyFont="1" applyProtection="1"/>
    <xf numFmtId="38" fontId="28" fillId="0" borderId="0" xfId="2" applyNumberFormat="1" applyFont="1"/>
    <xf numFmtId="38" fontId="27" fillId="0" borderId="0" xfId="2" applyNumberFormat="1" applyFont="1"/>
    <xf numFmtId="8" fontId="0" fillId="0" borderId="0" xfId="0" applyNumberFormat="1" applyFill="1" applyBorder="1" applyAlignment="1" applyProtection="1"/>
    <xf numFmtId="8" fontId="0" fillId="0" borderId="0" xfId="0" applyNumberFormat="1" applyFill="1" applyBorder="1" applyAlignment="1"/>
    <xf numFmtId="8" fontId="20" fillId="0" borderId="0" xfId="2" applyNumberFormat="1" applyFont="1"/>
    <xf numFmtId="8" fontId="20" fillId="0" borderId="0" xfId="2" applyNumberFormat="1" applyFont="1" applyProtection="1"/>
    <xf numFmtId="38" fontId="0" fillId="0" borderId="0" xfId="0" applyNumberFormat="1" applyFill="1" applyBorder="1" applyAlignment="1" applyProtection="1"/>
    <xf numFmtId="38" fontId="0" fillId="0" borderId="0" xfId="0" applyNumberFormat="1" applyFill="1" applyBorder="1" applyAlignment="1"/>
    <xf numFmtId="38" fontId="0" fillId="0" borderId="3" xfId="0" applyNumberFormat="1" applyFill="1" applyBorder="1" applyAlignment="1" applyProtection="1"/>
    <xf numFmtId="8" fontId="16" fillId="0" borderId="0" xfId="0" applyNumberFormat="1" applyFont="1" applyFill="1" applyBorder="1" applyAlignment="1"/>
    <xf numFmtId="8" fontId="16" fillId="0" borderId="0" xfId="0" applyNumberFormat="1" applyFont="1" applyFill="1" applyBorder="1" applyAlignment="1" applyProtection="1"/>
    <xf numFmtId="8" fontId="17" fillId="0" borderId="0" xfId="0" applyNumberFormat="1" applyFont="1" applyFill="1" applyBorder="1" applyAlignment="1" applyProtection="1"/>
    <xf numFmtId="38" fontId="0" fillId="0" borderId="0" xfId="0" applyNumberFormat="1"/>
    <xf numFmtId="38" fontId="22" fillId="0" borderId="0" xfId="2" applyNumberFormat="1" applyFont="1" applyProtection="1"/>
    <xf numFmtId="38" fontId="20" fillId="0" borderId="0" xfId="2" applyNumberFormat="1" applyFont="1" applyProtection="1"/>
    <xf numFmtId="8" fontId="20" fillId="0" borderId="0" xfId="0" applyNumberFormat="1" applyFont="1" applyFill="1" applyBorder="1" applyAlignment="1"/>
    <xf numFmtId="8" fontId="20" fillId="0" borderId="0" xfId="2" applyNumberFormat="1" applyFont="1" applyAlignment="1">
      <alignment horizontal="right"/>
    </xf>
    <xf numFmtId="38" fontId="24" fillId="0" borderId="0" xfId="2" applyNumberFormat="1" applyFont="1" applyProtection="1"/>
    <xf numFmtId="38" fontId="24" fillId="0" borderId="0" xfId="0" applyNumberFormat="1" applyFont="1"/>
    <xf numFmtId="38" fontId="3" fillId="0" borderId="0" xfId="0" applyNumberFormat="1" applyFont="1" applyFill="1" applyBorder="1" applyAlignment="1" applyProtection="1"/>
    <xf numFmtId="38" fontId="3" fillId="0" borderId="0" xfId="0" applyNumberFormat="1" applyFont="1" applyFill="1" applyBorder="1" applyAlignment="1"/>
    <xf numFmtId="38" fontId="26" fillId="0" borderId="0" xfId="0" applyNumberFormat="1" applyFont="1" applyFill="1" applyBorder="1" applyAlignment="1" applyProtection="1"/>
    <xf numFmtId="38" fontId="26" fillId="0" borderId="0" xfId="0" applyNumberFormat="1" applyFont="1" applyFill="1" applyBorder="1" applyAlignment="1"/>
    <xf numFmtId="38" fontId="26" fillId="0" borderId="8" xfId="0" applyNumberFormat="1" applyFont="1" applyFill="1" applyBorder="1" applyAlignment="1"/>
    <xf numFmtId="38" fontId="26" fillId="0" borderId="8" xfId="0" applyNumberFormat="1" applyFont="1" applyFill="1" applyBorder="1" applyAlignment="1" applyProtection="1"/>
    <xf numFmtId="38" fontId="0" fillId="0" borderId="0" xfId="0" applyNumberFormat="1" applyProtection="1"/>
    <xf numFmtId="0" fontId="29" fillId="0" borderId="0" xfId="2" applyFont="1"/>
    <xf numFmtId="0" fontId="30" fillId="0" borderId="0" xfId="2" applyFont="1"/>
    <xf numFmtId="37" fontId="10" fillId="0" borderId="4" xfId="0" applyNumberFormat="1" applyFont="1" applyFill="1" applyBorder="1" applyAlignment="1" applyProtection="1">
      <alignment horizontal="center"/>
    </xf>
    <xf numFmtId="7" fontId="20" fillId="0" borderId="0" xfId="2" applyNumberFormat="1" applyFont="1"/>
    <xf numFmtId="0" fontId="0" fillId="0" borderId="0" xfId="0" applyFill="1" applyBorder="1" applyAlignment="1">
      <alignment horizontal="center"/>
    </xf>
    <xf numFmtId="0" fontId="10" fillId="0" borderId="6" xfId="0" applyFont="1" applyFill="1" applyBorder="1" applyAlignment="1" applyProtection="1">
      <alignment horizontal="center"/>
    </xf>
    <xf numFmtId="0" fontId="6" fillId="0" borderId="3" xfId="0" applyFont="1" applyFill="1" applyBorder="1" applyAlignment="1" applyProtection="1">
      <alignment horizontal="center"/>
    </xf>
    <xf numFmtId="16" fontId="1" fillId="0" borderId="0" xfId="0" quotePrefix="1" applyNumberFormat="1" applyFont="1" applyAlignment="1" applyProtection="1">
      <alignment horizontal="right"/>
    </xf>
    <xf numFmtId="0" fontId="0" fillId="0" borderId="0" xfId="0" quotePrefix="1"/>
    <xf numFmtId="37" fontId="19" fillId="0" borderId="0" xfId="0" applyNumberFormat="1" applyFont="1" applyFill="1" applyBorder="1" applyAlignment="1" applyProtection="1">
      <alignment horizontal="center"/>
    </xf>
    <xf numFmtId="37" fontId="19" fillId="0" borderId="4" xfId="0" applyNumberFormat="1" applyFont="1" applyFill="1" applyBorder="1" applyAlignment="1" applyProtection="1">
      <alignment horizontal="center"/>
    </xf>
    <xf numFmtId="3" fontId="0" fillId="0" borderId="6" xfId="0" applyNumberFormat="1" applyFill="1" applyBorder="1" applyAlignment="1" applyProtection="1">
      <alignment horizontal="center"/>
    </xf>
    <xf numFmtId="37" fontId="0" fillId="0" borderId="0" xfId="0" applyNumberFormat="1" applyAlignment="1">
      <alignment horizontal="center"/>
    </xf>
    <xf numFmtId="5" fontId="0" fillId="0" borderId="0" xfId="0" applyNumberFormat="1"/>
    <xf numFmtId="0" fontId="30" fillId="0" borderId="9" xfId="0" applyFont="1" applyFill="1" applyBorder="1" applyAlignment="1" applyProtection="1">
      <alignment horizontal="centerContinuous"/>
      <protection locked="0"/>
    </xf>
    <xf numFmtId="0" fontId="30" fillId="0" borderId="6" xfId="0" applyFont="1" applyFill="1" applyBorder="1" applyAlignment="1" applyProtection="1">
      <alignment horizontal="centerContinuous"/>
      <protection locked="0"/>
    </xf>
    <xf numFmtId="0" fontId="30" fillId="0" borderId="10" xfId="0" applyFont="1" applyFill="1" applyBorder="1" applyAlignment="1" applyProtection="1">
      <alignment horizontal="centerContinuous"/>
      <protection locked="0"/>
    </xf>
    <xf numFmtId="0" fontId="29" fillId="0" borderId="0" xfId="0" applyFont="1"/>
    <xf numFmtId="0" fontId="30" fillId="0" borderId="11" xfId="0" applyFont="1" applyFill="1" applyBorder="1" applyAlignment="1" applyProtection="1">
      <alignment horizontal="centerContinuous"/>
      <protection locked="0"/>
    </xf>
    <xf numFmtId="0" fontId="30" fillId="0" borderId="0" xfId="0" applyFont="1" applyFill="1" applyBorder="1" applyAlignment="1" applyProtection="1">
      <alignment horizontal="centerContinuous"/>
      <protection locked="0"/>
    </xf>
    <xf numFmtId="0" fontId="30" fillId="0" borderId="12" xfId="0" applyFont="1" applyFill="1" applyBorder="1" applyAlignment="1" applyProtection="1">
      <alignment horizontal="centerContinuous"/>
      <protection locked="0"/>
    </xf>
    <xf numFmtId="0" fontId="30" fillId="0" borderId="11" xfId="0" applyFont="1" applyFill="1" applyBorder="1" applyAlignment="1" applyProtection="1">
      <alignment horizontal="left"/>
      <protection locked="0"/>
    </xf>
    <xf numFmtId="0" fontId="30" fillId="0" borderId="0" xfId="0" applyFont="1" applyFill="1" applyBorder="1" applyAlignment="1" applyProtection="1">
      <alignment horizontal="center"/>
      <protection locked="0"/>
    </xf>
    <xf numFmtId="0" fontId="30" fillId="0" borderId="12" xfId="0" applyFont="1" applyFill="1" applyBorder="1" applyAlignment="1" applyProtection="1">
      <alignment horizontal="center"/>
      <protection locked="0"/>
    </xf>
    <xf numFmtId="0" fontId="30" fillId="0" borderId="13" xfId="0" applyFont="1" applyFill="1" applyBorder="1" applyAlignment="1" applyProtection="1">
      <alignment horizontal="center"/>
      <protection locked="0"/>
    </xf>
    <xf numFmtId="0" fontId="30" fillId="0" borderId="14" xfId="0" applyFont="1" applyFill="1" applyBorder="1" applyAlignment="1" applyProtection="1">
      <alignment horizontal="center"/>
      <protection locked="0"/>
    </xf>
    <xf numFmtId="0" fontId="29" fillId="0" borderId="0" xfId="0" applyFont="1" applyAlignment="1">
      <alignment horizontal="center"/>
    </xf>
    <xf numFmtId="0" fontId="30" fillId="0" borderId="15" xfId="0" applyFont="1" applyFill="1" applyBorder="1" applyAlignment="1" applyProtection="1">
      <alignment horizontal="center"/>
      <protection locked="0"/>
    </xf>
    <xf numFmtId="0" fontId="30" fillId="0" borderId="16" xfId="0" applyFont="1" applyFill="1" applyBorder="1" applyAlignment="1" applyProtection="1">
      <alignment horizontal="center"/>
      <protection locked="0"/>
    </xf>
    <xf numFmtId="0" fontId="30" fillId="0" borderId="17" xfId="0" applyFont="1" applyFill="1" applyBorder="1" applyAlignment="1" applyProtection="1">
      <alignment horizontal="center"/>
      <protection locked="0"/>
    </xf>
    <xf numFmtId="0" fontId="30" fillId="0" borderId="18" xfId="0" applyFont="1" applyFill="1" applyBorder="1" applyAlignment="1" applyProtection="1">
      <alignment horizontal="left"/>
      <protection locked="0"/>
    </xf>
    <xf numFmtId="0" fontId="30" fillId="0" borderId="15" xfId="0" applyFont="1" applyFill="1" applyBorder="1" applyAlignment="1" applyProtection="1">
      <alignment horizontal="left"/>
      <protection locked="0"/>
    </xf>
    <xf numFmtId="37" fontId="29" fillId="0" borderId="16" xfId="0" applyNumberFormat="1" applyFont="1" applyFill="1" applyBorder="1" applyAlignment="1" applyProtection="1">
      <protection locked="0"/>
    </xf>
    <xf numFmtId="0" fontId="29" fillId="0" borderId="15" xfId="0" applyFont="1" applyFill="1" applyBorder="1" applyAlignment="1" applyProtection="1">
      <alignment horizontal="left"/>
      <protection locked="0"/>
    </xf>
    <xf numFmtId="5" fontId="29" fillId="0" borderId="16" xfId="0" applyNumberFormat="1" applyFont="1" applyFill="1" applyBorder="1" applyAlignment="1" applyProtection="1">
      <protection locked="0"/>
    </xf>
    <xf numFmtId="0" fontId="29" fillId="0" borderId="15" xfId="0" applyFont="1" applyFill="1" applyBorder="1" applyAlignment="1">
      <alignment horizontal="left"/>
    </xf>
    <xf numFmtId="37" fontId="29" fillId="0" borderId="19" xfId="0" applyNumberFormat="1" applyFont="1" applyFill="1" applyBorder="1" applyAlignment="1" applyProtection="1">
      <protection locked="0"/>
    </xf>
    <xf numFmtId="0" fontId="29" fillId="0" borderId="0" xfId="0" applyFont="1" applyFill="1" applyBorder="1" applyAlignment="1" applyProtection="1">
      <protection locked="0"/>
    </xf>
    <xf numFmtId="7" fontId="29" fillId="0" borderId="0" xfId="0" applyNumberFormat="1" applyFont="1" applyFill="1" applyBorder="1" applyAlignment="1" applyProtection="1">
      <protection locked="0"/>
    </xf>
    <xf numFmtId="7" fontId="30" fillId="0" borderId="0" xfId="0" applyNumberFormat="1" applyFont="1" applyFill="1" applyBorder="1" applyAlignment="1" applyProtection="1">
      <protection locked="0"/>
    </xf>
    <xf numFmtId="0" fontId="29" fillId="0" borderId="0" xfId="0" applyFont="1" applyBorder="1"/>
    <xf numFmtId="0" fontId="30" fillId="0" borderId="0" xfId="0" applyFont="1" applyBorder="1"/>
    <xf numFmtId="0" fontId="30" fillId="0" borderId="11" xfId="0" applyFont="1" applyFill="1" applyBorder="1" applyAlignment="1">
      <alignment horizontal="left"/>
    </xf>
    <xf numFmtId="0" fontId="29" fillId="0" borderId="0" xfId="0" applyFont="1" applyFill="1" applyBorder="1" applyAlignment="1"/>
    <xf numFmtId="0" fontId="30" fillId="0" borderId="0" xfId="0" applyFont="1" applyFill="1" applyBorder="1" applyAlignment="1"/>
    <xf numFmtId="0" fontId="29" fillId="0" borderId="11" xfId="0" applyFont="1" applyBorder="1"/>
    <xf numFmtId="0" fontId="29" fillId="0" borderId="20" xfId="0" applyFont="1" applyBorder="1"/>
    <xf numFmtId="0" fontId="29" fillId="0" borderId="7" xfId="0" applyFont="1" applyBorder="1"/>
    <xf numFmtId="37" fontId="2" fillId="0" borderId="21" xfId="0" applyNumberFormat="1" applyFont="1" applyFill="1" applyBorder="1" applyAlignment="1" applyProtection="1">
      <alignment horizontal="center"/>
    </xf>
    <xf numFmtId="0" fontId="2" fillId="0" borderId="21" xfId="0" applyFont="1" applyFill="1" applyBorder="1" applyAlignment="1" applyProtection="1">
      <alignment horizontal="center"/>
    </xf>
    <xf numFmtId="0" fontId="0" fillId="0" borderId="21" xfId="0" applyFill="1" applyBorder="1" applyAlignment="1" applyProtection="1">
      <alignment horizontal="center"/>
    </xf>
    <xf numFmtId="7" fontId="0" fillId="0" borderId="21" xfId="0" applyNumberFormat="1" applyFill="1" applyBorder="1" applyAlignment="1" applyProtection="1"/>
    <xf numFmtId="7" fontId="0" fillId="0" borderId="21" xfId="0" applyNumberFormat="1" applyBorder="1"/>
    <xf numFmtId="37" fontId="31" fillId="0" borderId="22" xfId="2" applyNumberFormat="1" applyFont="1" applyBorder="1" applyAlignment="1" applyProtection="1">
      <alignment horizontal="left"/>
    </xf>
    <xf numFmtId="0" fontId="32" fillId="0" borderId="0" xfId="2" applyFont="1"/>
    <xf numFmtId="0" fontId="31" fillId="0" borderId="0" xfId="2" applyFont="1" applyAlignment="1">
      <alignment horizontal="center"/>
    </xf>
    <xf numFmtId="37" fontId="31" fillId="0" borderId="0" xfId="2" applyNumberFormat="1" applyFont="1" applyBorder="1" applyAlignment="1" applyProtection="1">
      <alignment horizontal="center"/>
    </xf>
    <xf numFmtId="37" fontId="31" fillId="0" borderId="0" xfId="2" applyNumberFormat="1" applyFont="1" applyAlignment="1" applyProtection="1">
      <alignment horizontal="center"/>
    </xf>
    <xf numFmtId="0" fontId="31" fillId="0" borderId="0" xfId="2" applyFont="1" applyAlignment="1" applyProtection="1">
      <alignment horizontal="center"/>
    </xf>
    <xf numFmtId="0" fontId="32" fillId="0" borderId="0" xfId="2" applyFont="1" applyAlignment="1">
      <alignment horizontal="center"/>
    </xf>
    <xf numFmtId="37" fontId="31" fillId="0" borderId="0" xfId="2" applyNumberFormat="1" applyFont="1" applyAlignment="1" applyProtection="1">
      <alignment horizontal="left"/>
    </xf>
    <xf numFmtId="38" fontId="31" fillId="0" borderId="0" xfId="2" applyNumberFormat="1" applyFont="1" applyAlignment="1" applyProtection="1">
      <alignment horizontal="left"/>
    </xf>
    <xf numFmtId="37" fontId="31" fillId="0" borderId="0" xfId="2" applyNumberFormat="1" applyFont="1" applyProtection="1"/>
    <xf numFmtId="38" fontId="31" fillId="0" borderId="0" xfId="2" applyNumberFormat="1" applyFont="1" applyProtection="1"/>
    <xf numFmtId="38" fontId="32" fillId="0" borderId="0" xfId="2" applyNumberFormat="1" applyFont="1"/>
    <xf numFmtId="0" fontId="31" fillId="0" borderId="0" xfId="2" applyFont="1"/>
    <xf numFmtId="8" fontId="31" fillId="0" borderId="0" xfId="2" applyNumberFormat="1" applyFont="1" applyAlignment="1" applyProtection="1">
      <alignment horizontal="left"/>
    </xf>
    <xf numFmtId="8" fontId="31" fillId="0" borderId="0" xfId="2" applyNumberFormat="1" applyFont="1" applyProtection="1"/>
    <xf numFmtId="8" fontId="32" fillId="0" borderId="0" xfId="2" applyNumberFormat="1" applyFont="1"/>
    <xf numFmtId="171" fontId="31" fillId="0" borderId="0" xfId="2" applyNumberFormat="1" applyFont="1"/>
    <xf numFmtId="170" fontId="31" fillId="0" borderId="0" xfId="2" applyNumberFormat="1" applyFont="1" applyAlignment="1" applyProtection="1">
      <alignment horizontal="left"/>
    </xf>
    <xf numFmtId="170" fontId="31" fillId="0" borderId="0" xfId="2" applyNumberFormat="1" applyFont="1" applyProtection="1"/>
    <xf numFmtId="170" fontId="32" fillId="0" borderId="0" xfId="2" applyNumberFormat="1" applyFont="1"/>
    <xf numFmtId="8" fontId="31" fillId="0" borderId="0" xfId="2" applyNumberFormat="1" applyFont="1"/>
    <xf numFmtId="38" fontId="31" fillId="0" borderId="0" xfId="2" applyNumberFormat="1" applyFont="1"/>
    <xf numFmtId="38" fontId="32" fillId="0" borderId="0" xfId="2" applyNumberFormat="1" applyFont="1" applyProtection="1"/>
    <xf numFmtId="0" fontId="33" fillId="0" borderId="0" xfId="2" applyFont="1"/>
    <xf numFmtId="38" fontId="34" fillId="0" borderId="0" xfId="2" applyNumberFormat="1" applyFont="1" applyProtection="1"/>
    <xf numFmtId="166" fontId="31" fillId="0" borderId="0" xfId="2" applyNumberFormat="1" applyFont="1" applyProtection="1"/>
    <xf numFmtId="0" fontId="31" fillId="0" borderId="23" xfId="2" applyFont="1" applyBorder="1"/>
    <xf numFmtId="0" fontId="35" fillId="0" borderId="0" xfId="2" applyFont="1"/>
    <xf numFmtId="0" fontId="36" fillId="0" borderId="0" xfId="2" applyFont="1"/>
    <xf numFmtId="0" fontId="35" fillId="0" borderId="0" xfId="2" applyFont="1" applyAlignment="1" applyProtection="1">
      <alignment horizontal="left"/>
    </xf>
    <xf numFmtId="41" fontId="36" fillId="0" borderId="0" xfId="2" applyNumberFormat="1" applyFont="1" applyProtection="1"/>
    <xf numFmtId="37" fontId="35" fillId="0" borderId="0" xfId="2" applyNumberFormat="1" applyFont="1" applyAlignment="1" applyProtection="1">
      <alignment horizontal="left"/>
    </xf>
    <xf numFmtId="37" fontId="35" fillId="0" borderId="0" xfId="2" applyNumberFormat="1" applyFont="1" applyProtection="1"/>
    <xf numFmtId="165" fontId="35" fillId="0" borderId="0" xfId="2" applyNumberFormat="1" applyFont="1" applyProtection="1"/>
    <xf numFmtId="7" fontId="35" fillId="0" borderId="0" xfId="2" applyNumberFormat="1" applyFont="1" applyProtection="1"/>
    <xf numFmtId="0" fontId="35" fillId="0" borderId="0" xfId="2" applyFont="1" applyBorder="1"/>
    <xf numFmtId="166" fontId="35" fillId="0" borderId="0" xfId="2" applyNumberFormat="1" applyFont="1" applyProtection="1"/>
    <xf numFmtId="0" fontId="20" fillId="0" borderId="0" xfId="0" applyFont="1"/>
    <xf numFmtId="14" fontId="37" fillId="0" borderId="0" xfId="0" applyNumberFormat="1" applyFont="1" applyAlignment="1">
      <alignment horizontal="center"/>
    </xf>
    <xf numFmtId="14" fontId="37" fillId="0" borderId="24" xfId="0" applyNumberFormat="1" applyFont="1" applyBorder="1" applyAlignment="1">
      <alignment horizontal="center"/>
    </xf>
    <xf numFmtId="14" fontId="37" fillId="0" borderId="11" xfId="0" applyNumberFormat="1" applyFont="1" applyBorder="1" applyAlignment="1">
      <alignment horizontal="center"/>
    </xf>
    <xf numFmtId="14" fontId="37" fillId="0" borderId="12" xfId="0" applyNumberFormat="1" applyFont="1" applyBorder="1" applyAlignment="1">
      <alignment horizontal="center"/>
    </xf>
    <xf numFmtId="0" fontId="22" fillId="0" borderId="25" xfId="0" applyFont="1" applyBorder="1"/>
    <xf numFmtId="38" fontId="20" fillId="0" borderId="9" xfId="0" applyNumberFormat="1" applyFont="1" applyBorder="1" applyAlignment="1">
      <alignment horizontal="right"/>
    </xf>
    <xf numFmtId="38" fontId="20" fillId="0" borderId="10" xfId="0" applyNumberFormat="1" applyFont="1" applyBorder="1" applyAlignment="1">
      <alignment horizontal="right"/>
    </xf>
    <xf numFmtId="38" fontId="20" fillId="0" borderId="0" xfId="0" applyNumberFormat="1" applyFont="1" applyAlignment="1">
      <alignment horizontal="right"/>
    </xf>
    <xf numFmtId="0" fontId="20" fillId="0" borderId="0" xfId="0" applyFont="1" applyAlignment="1">
      <alignment horizontal="right"/>
    </xf>
    <xf numFmtId="0" fontId="22" fillId="0" borderId="26" xfId="0" applyFont="1" applyBorder="1" applyAlignment="1">
      <alignment horizontal="center"/>
    </xf>
    <xf numFmtId="38" fontId="22" fillId="0" borderId="27" xfId="0" applyNumberFormat="1" applyFont="1" applyBorder="1" applyAlignment="1">
      <alignment horizontal="center"/>
    </xf>
    <xf numFmtId="38" fontId="22" fillId="0" borderId="28" xfId="0" applyNumberFormat="1" applyFont="1" applyBorder="1" applyAlignment="1">
      <alignment horizontal="center"/>
    </xf>
    <xf numFmtId="0" fontId="22" fillId="0" borderId="29" xfId="0" applyFont="1" applyBorder="1" applyAlignment="1">
      <alignment horizontal="center"/>
    </xf>
    <xf numFmtId="0" fontId="22" fillId="0" borderId="24" xfId="0" applyFont="1" applyBorder="1"/>
    <xf numFmtId="38" fontId="20" fillId="0" borderId="12" xfId="0" applyNumberFormat="1" applyFont="1" applyBorder="1" applyAlignment="1">
      <alignment horizontal="right"/>
    </xf>
    <xf numFmtId="0" fontId="22" fillId="0" borderId="24" xfId="0" applyFont="1" applyFill="1" applyBorder="1" applyAlignment="1" applyProtection="1">
      <alignment horizontal="left"/>
    </xf>
    <xf numFmtId="16" fontId="22" fillId="0" borderId="24" xfId="0" applyNumberFormat="1" applyFont="1" applyFill="1" applyBorder="1" applyAlignment="1" applyProtection="1">
      <alignment horizontal="left"/>
    </xf>
    <xf numFmtId="0" fontId="22" fillId="0" borderId="30" xfId="0" applyFont="1" applyBorder="1"/>
    <xf numFmtId="38" fontId="20" fillId="0" borderId="31" xfId="0" applyNumberFormat="1" applyFont="1" applyBorder="1" applyAlignment="1">
      <alignment horizontal="right"/>
    </xf>
    <xf numFmtId="38" fontId="22" fillId="0" borderId="0" xfId="0" applyNumberFormat="1" applyFont="1" applyAlignment="1">
      <alignment horizontal="right"/>
    </xf>
    <xf numFmtId="0" fontId="22" fillId="0" borderId="24" xfId="0" applyFont="1" applyBorder="1" applyAlignment="1">
      <alignment horizontal="center"/>
    </xf>
    <xf numFmtId="38" fontId="22" fillId="0" borderId="11" xfId="0" applyNumberFormat="1" applyFont="1" applyBorder="1" applyAlignment="1">
      <alignment horizontal="center"/>
    </xf>
    <xf numFmtId="38" fontId="22" fillId="0" borderId="12" xfId="0" applyNumberFormat="1" applyFont="1" applyBorder="1" applyAlignment="1">
      <alignment horizontal="center"/>
    </xf>
    <xf numFmtId="0" fontId="22" fillId="0" borderId="0" xfId="0" applyFont="1" applyAlignment="1">
      <alignment horizontal="center"/>
    </xf>
    <xf numFmtId="0" fontId="20" fillId="0" borderId="25" xfId="0" applyFont="1" applyBorder="1" applyAlignment="1">
      <alignment horizontal="right"/>
    </xf>
    <xf numFmtId="38" fontId="20" fillId="0" borderId="24" xfId="0" applyNumberFormat="1" applyFont="1" applyBorder="1" applyAlignment="1">
      <alignment horizontal="right"/>
    </xf>
    <xf numFmtId="38" fontId="20" fillId="0" borderId="30" xfId="0" applyNumberFormat="1" applyFont="1" applyBorder="1" applyAlignment="1">
      <alignment horizontal="right"/>
    </xf>
    <xf numFmtId="10" fontId="20" fillId="0" borderId="0" xfId="0" applyNumberFormat="1" applyFont="1" applyAlignment="1">
      <alignment horizontal="right"/>
    </xf>
    <xf numFmtId="10" fontId="20" fillId="0" borderId="25" xfId="0" applyNumberFormat="1" applyFont="1" applyBorder="1" applyAlignment="1">
      <alignment horizontal="right"/>
    </xf>
    <xf numFmtId="10" fontId="22" fillId="0" borderId="24" xfId="0" applyNumberFormat="1" applyFont="1" applyBorder="1" applyAlignment="1">
      <alignment horizontal="center"/>
    </xf>
    <xf numFmtId="10" fontId="37" fillId="0" borderId="24" xfId="0" applyNumberFormat="1" applyFont="1" applyBorder="1" applyAlignment="1">
      <alignment horizontal="center"/>
    </xf>
    <xf numFmtId="10" fontId="22" fillId="0" borderId="26" xfId="0" applyNumberFormat="1" applyFont="1" applyBorder="1" applyAlignment="1">
      <alignment horizontal="center"/>
    </xf>
    <xf numFmtId="10" fontId="20" fillId="0" borderId="24" xfId="0" applyNumberFormat="1" applyFont="1" applyBorder="1" applyAlignment="1">
      <alignment horizontal="right"/>
    </xf>
    <xf numFmtId="10" fontId="20" fillId="0" borderId="30" xfId="0" applyNumberFormat="1" applyFont="1" applyBorder="1" applyAlignment="1">
      <alignment horizontal="right"/>
    </xf>
    <xf numFmtId="37" fontId="29" fillId="0" borderId="43" xfId="2" applyNumberFormat="1" applyFont="1" applyBorder="1" applyProtection="1"/>
    <xf numFmtId="0" fontId="20" fillId="0" borderId="2" xfId="0" applyFont="1" applyFill="1" applyBorder="1" applyAlignment="1" applyProtection="1">
      <alignment horizontal="left"/>
    </xf>
    <xf numFmtId="7" fontId="20" fillId="0" borderId="2" xfId="0" applyNumberFormat="1" applyFont="1" applyFill="1" applyBorder="1" applyAlignment="1" applyProtection="1">
      <alignment horizontal="center"/>
    </xf>
    <xf numFmtId="37" fontId="38" fillId="0" borderId="0" xfId="2" applyNumberFormat="1" applyFont="1" applyProtection="1"/>
    <xf numFmtId="7" fontId="38" fillId="0" borderId="0" xfId="2" applyNumberFormat="1" applyFont="1" applyProtection="1"/>
    <xf numFmtId="8" fontId="38" fillId="0" borderId="0" xfId="2" applyNumberFormat="1" applyFont="1" applyProtection="1"/>
    <xf numFmtId="37" fontId="39" fillId="0" borderId="0" xfId="2" applyNumberFormat="1" applyFont="1" applyProtection="1"/>
    <xf numFmtId="7" fontId="39" fillId="0" borderId="0" xfId="2" applyNumberFormat="1" applyFont="1" applyProtection="1"/>
    <xf numFmtId="165" fontId="38" fillId="0" borderId="0" xfId="2" applyNumberFormat="1" applyFont="1" applyProtection="1"/>
    <xf numFmtId="169" fontId="39" fillId="0" borderId="0" xfId="2" applyNumberFormat="1" applyFont="1" applyProtection="1"/>
    <xf numFmtId="38" fontId="38" fillId="0" borderId="0" xfId="2" applyNumberFormat="1" applyFont="1" applyProtection="1"/>
    <xf numFmtId="38" fontId="39" fillId="0" borderId="0" xfId="2" applyNumberFormat="1" applyFont="1" applyProtection="1"/>
    <xf numFmtId="8" fontId="39" fillId="0" borderId="0" xfId="2" applyNumberFormat="1" applyFont="1" applyProtection="1"/>
    <xf numFmtId="168" fontId="38" fillId="0" borderId="0" xfId="2" applyNumberFormat="1" applyFont="1" applyProtection="1"/>
    <xf numFmtId="168" fontId="39" fillId="0" borderId="0" xfId="2" applyNumberFormat="1" applyFont="1" applyProtection="1"/>
    <xf numFmtId="7" fontId="38" fillId="0" borderId="0" xfId="2" applyNumberFormat="1" applyFont="1"/>
    <xf numFmtId="171" fontId="38" fillId="0" borderId="0" xfId="2" applyNumberFormat="1" applyFont="1" applyProtection="1"/>
    <xf numFmtId="37" fontId="38" fillId="6" borderId="0" xfId="2" applyNumberFormat="1" applyFont="1" applyFill="1" applyProtection="1"/>
    <xf numFmtId="171" fontId="39" fillId="0" borderId="0" xfId="2" applyNumberFormat="1" applyFont="1" applyProtection="1"/>
    <xf numFmtId="38" fontId="40" fillId="0" borderId="0" xfId="2" applyNumberFormat="1" applyFont="1" applyProtection="1"/>
    <xf numFmtId="0" fontId="38" fillId="0" borderId="0" xfId="2" applyFont="1"/>
    <xf numFmtId="10" fontId="38" fillId="0" borderId="0" xfId="2" applyNumberFormat="1" applyFont="1" applyProtection="1"/>
    <xf numFmtId="10" fontId="39" fillId="0" borderId="0" xfId="2" applyNumberFormat="1" applyFont="1" applyProtection="1"/>
    <xf numFmtId="37" fontId="41" fillId="0" borderId="0" xfId="2" applyNumberFormat="1" applyFont="1" applyProtection="1"/>
    <xf numFmtId="7" fontId="41" fillId="0" borderId="0" xfId="2" applyNumberFormat="1" applyFont="1" applyProtection="1"/>
    <xf numFmtId="37" fontId="0" fillId="0" borderId="0" xfId="0" applyNumberFormat="1" applyBorder="1"/>
    <xf numFmtId="168" fontId="42" fillId="0" borderId="0" xfId="0" applyNumberFormat="1" applyFont="1" applyFill="1" applyBorder="1" applyAlignment="1" applyProtection="1"/>
    <xf numFmtId="7" fontId="42" fillId="0" borderId="0" xfId="0" applyNumberFormat="1" applyFont="1"/>
    <xf numFmtId="0" fontId="42" fillId="0" borderId="0" xfId="0" applyFont="1"/>
    <xf numFmtId="8" fontId="42" fillId="0" borderId="0" xfId="2" applyNumberFormat="1" applyFont="1"/>
    <xf numFmtId="8" fontId="42" fillId="0" borderId="5" xfId="0" applyNumberFormat="1" applyFont="1" applyFill="1" applyBorder="1" applyAlignment="1" applyProtection="1"/>
    <xf numFmtId="0" fontId="41" fillId="0" borderId="0" xfId="2" applyFont="1"/>
    <xf numFmtId="38" fontId="41" fillId="0" borderId="0" xfId="2" applyNumberFormat="1" applyFont="1" applyProtection="1"/>
    <xf numFmtId="38" fontId="42" fillId="0" borderId="0" xfId="0" applyNumberFormat="1" applyFont="1"/>
    <xf numFmtId="16" fontId="43" fillId="0" borderId="0" xfId="0" applyNumberFormat="1" applyFont="1" applyAlignment="1" applyProtection="1">
      <alignment horizontal="right"/>
    </xf>
    <xf numFmtId="3" fontId="42" fillId="0" borderId="0" xfId="0" applyNumberFormat="1" applyFont="1" applyFill="1" applyBorder="1" applyAlignment="1" applyProtection="1">
      <alignment horizontal="center"/>
    </xf>
    <xf numFmtId="37" fontId="42" fillId="0" borderId="0" xfId="2" applyNumberFormat="1" applyFont="1" applyProtection="1"/>
    <xf numFmtId="5" fontId="42" fillId="0" borderId="0" xfId="0" applyNumberFormat="1" applyFont="1" applyFill="1" applyBorder="1" applyAlignment="1" applyProtection="1"/>
    <xf numFmtId="37" fontId="42" fillId="0" borderId="0" xfId="0" applyNumberFormat="1" applyFont="1" applyFill="1" applyBorder="1" applyAlignment="1" applyProtection="1"/>
    <xf numFmtId="164" fontId="42" fillId="0" borderId="0" xfId="0" applyNumberFormat="1" applyFont="1" applyFill="1" applyBorder="1" applyAlignment="1" applyProtection="1"/>
    <xf numFmtId="167" fontId="42" fillId="0" borderId="0" xfId="0" applyNumberFormat="1" applyFont="1" applyFill="1" applyBorder="1" applyAlignment="1" applyProtection="1"/>
    <xf numFmtId="49" fontId="0" fillId="0" borderId="0" xfId="0" applyNumberFormat="1" applyFill="1" applyBorder="1" applyAlignment="1" applyProtection="1">
      <alignment horizontal="left"/>
    </xf>
    <xf numFmtId="37" fontId="43" fillId="0" borderId="0" xfId="0" applyNumberFormat="1" applyFont="1" applyFill="1" applyBorder="1" applyAlignment="1" applyProtection="1">
      <alignment horizontal="center"/>
    </xf>
    <xf numFmtId="5" fontId="43" fillId="0" borderId="0" xfId="0" applyNumberFormat="1" applyFont="1" applyFill="1" applyBorder="1" applyAlignment="1" applyProtection="1">
      <alignment horizontal="center"/>
    </xf>
    <xf numFmtId="38" fontId="41" fillId="0" borderId="11" xfId="0" applyNumberFormat="1" applyFont="1" applyBorder="1" applyAlignment="1">
      <alignment horizontal="right"/>
    </xf>
    <xf numFmtId="3" fontId="0" fillId="0" borderId="0" xfId="0" applyNumberFormat="1"/>
    <xf numFmtId="0" fontId="32" fillId="0" borderId="0" xfId="2" applyFont="1" applyBorder="1"/>
    <xf numFmtId="37" fontId="44" fillId="0" borderId="21" xfId="2" applyNumberFormat="1" applyFont="1" applyBorder="1" applyAlignment="1" applyProtection="1">
      <alignment horizontal="left"/>
    </xf>
    <xf numFmtId="0" fontId="45" fillId="0" borderId="0" xfId="0" applyFont="1" applyFill="1" applyBorder="1" applyAlignment="1" applyProtection="1">
      <alignment horizontal="left"/>
    </xf>
    <xf numFmtId="3" fontId="3" fillId="0" borderId="0" xfId="0" applyNumberFormat="1" applyFont="1" applyFill="1" applyBorder="1" applyAlignment="1" applyProtection="1">
      <alignment horizontal="center"/>
    </xf>
    <xf numFmtId="37" fontId="3" fillId="0" borderId="0" xfId="2" applyNumberFormat="1" applyFont="1" applyProtection="1"/>
    <xf numFmtId="5" fontId="3" fillId="0" borderId="0" xfId="0" applyNumberFormat="1" applyFont="1" applyFill="1" applyBorder="1" applyAlignment="1" applyProtection="1"/>
    <xf numFmtId="165" fontId="3" fillId="0" borderId="0" xfId="0" applyNumberFormat="1" applyFont="1" applyFill="1" applyBorder="1" applyAlignment="1" applyProtection="1"/>
    <xf numFmtId="37" fontId="3" fillId="0" borderId="0" xfId="0" applyNumberFormat="1" applyFont="1" applyFill="1" applyBorder="1" applyAlignment="1" applyProtection="1"/>
    <xf numFmtId="164" fontId="3" fillId="0" borderId="0" xfId="0" applyNumberFormat="1" applyFont="1" applyFill="1" applyBorder="1" applyAlignment="1" applyProtection="1"/>
    <xf numFmtId="167" fontId="3" fillId="0" borderId="0" xfId="0" applyNumberFormat="1" applyFont="1" applyFill="1" applyBorder="1" applyAlignment="1" applyProtection="1"/>
    <xf numFmtId="0" fontId="3" fillId="0" borderId="0" xfId="0" quotePrefix="1" applyFont="1"/>
    <xf numFmtId="49" fontId="3" fillId="0" borderId="0" xfId="0" applyNumberFormat="1" applyFont="1"/>
    <xf numFmtId="0" fontId="3" fillId="0" borderId="0" xfId="0" applyFont="1" applyAlignment="1">
      <alignment horizontal="center"/>
    </xf>
    <xf numFmtId="0" fontId="46" fillId="0" borderId="0" xfId="0" applyFont="1" applyAlignment="1">
      <alignment horizontal="right" vertical="top"/>
    </xf>
    <xf numFmtId="0" fontId="47" fillId="0" borderId="0" xfId="0" applyFont="1" applyFill="1" applyBorder="1" applyAlignment="1" applyProtection="1">
      <alignment horizontal="left"/>
    </xf>
    <xf numFmtId="0" fontId="47" fillId="0" borderId="0" xfId="0" applyFont="1"/>
    <xf numFmtId="0" fontId="48" fillId="0" borderId="0" xfId="0" applyFont="1"/>
    <xf numFmtId="0" fontId="49" fillId="0" borderId="0" xfId="0" applyFont="1"/>
    <xf numFmtId="0" fontId="50" fillId="0" borderId="0" xfId="0" applyFont="1" applyAlignment="1">
      <alignment horizontal="center"/>
    </xf>
    <xf numFmtId="168" fontId="49" fillId="0" borderId="0" xfId="0" applyNumberFormat="1" applyFont="1"/>
    <xf numFmtId="0" fontId="23" fillId="0" borderId="0" xfId="0" applyFont="1"/>
    <xf numFmtId="168" fontId="49" fillId="0" borderId="0" xfId="0" applyNumberFormat="1" applyFont="1" applyAlignment="1">
      <alignment horizontal="center"/>
    </xf>
    <xf numFmtId="0" fontId="23" fillId="0" borderId="0" xfId="0" applyFont="1" applyAlignment="1">
      <alignment horizontal="center"/>
    </xf>
    <xf numFmtId="168" fontId="0" fillId="0" borderId="0" xfId="0" applyNumberFormat="1"/>
    <xf numFmtId="168" fontId="48" fillId="0" borderId="0" xfId="0" applyNumberFormat="1" applyFont="1" applyAlignment="1">
      <alignment horizontal="center"/>
    </xf>
    <xf numFmtId="0" fontId="22" fillId="0" borderId="45" xfId="0" applyFont="1" applyBorder="1" applyAlignment="1">
      <alignment horizontal="center"/>
    </xf>
    <xf numFmtId="0" fontId="22" fillId="0" borderId="45" xfId="0" applyFont="1" applyFill="1" applyBorder="1" applyAlignment="1">
      <alignment horizontal="center"/>
    </xf>
    <xf numFmtId="0" fontId="22" fillId="0" borderId="46" xfId="0" applyFont="1" applyFill="1" applyBorder="1" applyAlignment="1">
      <alignment horizontal="center"/>
    </xf>
    <xf numFmtId="0" fontId="22" fillId="0" borderId="11" xfId="0" applyFont="1" applyBorder="1" applyAlignment="1">
      <alignment horizontal="right"/>
    </xf>
    <xf numFmtId="0" fontId="0" fillId="0" borderId="0" xfId="0" applyBorder="1"/>
    <xf numFmtId="0" fontId="22" fillId="0" borderId="20" xfId="0" applyFont="1" applyBorder="1" applyAlignment="1">
      <alignment horizontal="right"/>
    </xf>
    <xf numFmtId="0" fontId="22" fillId="0" borderId="47" xfId="0" applyFont="1" applyBorder="1"/>
    <xf numFmtId="0" fontId="0" fillId="0" borderId="0" xfId="0" applyBorder="1" applyAlignment="1">
      <alignment horizontal="right"/>
    </xf>
    <xf numFmtId="0" fontId="30" fillId="0" borderId="48" xfId="0" applyFont="1" applyFill="1" applyBorder="1" applyAlignment="1" applyProtection="1">
      <alignment horizontal="left"/>
      <protection locked="0"/>
    </xf>
    <xf numFmtId="0" fontId="30" fillId="0" borderId="49" xfId="0" applyFont="1" applyFill="1" applyBorder="1" applyAlignment="1" applyProtection="1">
      <alignment horizontal="center"/>
      <protection locked="0"/>
    </xf>
    <xf numFmtId="38" fontId="22" fillId="0" borderId="0" xfId="0" applyNumberFormat="1" applyFont="1" applyBorder="1" applyAlignment="1">
      <alignment horizontal="right"/>
    </xf>
    <xf numFmtId="0" fontId="0" fillId="7" borderId="0" xfId="0" applyFill="1"/>
    <xf numFmtId="37" fontId="39" fillId="6" borderId="0" xfId="2" applyNumberFormat="1" applyFont="1" applyFill="1" applyBorder="1" applyProtection="1"/>
    <xf numFmtId="0" fontId="22" fillId="0" borderId="51" xfId="0" applyFont="1" applyBorder="1"/>
    <xf numFmtId="38" fontId="26" fillId="0" borderId="4" xfId="0" applyNumberFormat="1" applyFont="1" applyFill="1" applyBorder="1" applyAlignment="1" applyProtection="1"/>
    <xf numFmtId="49" fontId="0" fillId="0" borderId="0" xfId="0" applyNumberFormat="1"/>
    <xf numFmtId="0" fontId="3" fillId="0" borderId="0" xfId="0" applyFont="1" applyFill="1" applyBorder="1" applyAlignment="1">
      <alignment horizontal="left"/>
    </xf>
    <xf numFmtId="7" fontId="3" fillId="0" borderId="0" xfId="0" applyNumberFormat="1" applyFont="1" applyFill="1" applyBorder="1" applyAlignment="1" applyProtection="1"/>
    <xf numFmtId="168" fontId="41" fillId="0" borderId="0" xfId="0" applyNumberFormat="1" applyFont="1" applyFill="1" applyBorder="1" applyAlignment="1" applyProtection="1"/>
    <xf numFmtId="9" fontId="22" fillId="0" borderId="0" xfId="0" applyNumberFormat="1" applyFont="1" applyAlignment="1">
      <alignment horizontal="right"/>
    </xf>
    <xf numFmtId="38" fontId="53" fillId="0" borderId="0" xfId="0" applyNumberFormat="1" applyFont="1" applyAlignment="1">
      <alignment horizontal="right"/>
    </xf>
    <xf numFmtId="49" fontId="30" fillId="0" borderId="14" xfId="0" applyNumberFormat="1" applyFont="1" applyFill="1" applyBorder="1" applyAlignment="1" applyProtection="1">
      <alignment horizontal="center"/>
      <protection locked="0"/>
    </xf>
    <xf numFmtId="0" fontId="37" fillId="0" borderId="0" xfId="0" applyFont="1"/>
    <xf numFmtId="49" fontId="30" fillId="0" borderId="52" xfId="0" applyNumberFormat="1" applyFont="1" applyFill="1" applyBorder="1" applyAlignment="1" applyProtection="1">
      <alignment horizontal="center"/>
      <protection locked="0"/>
    </xf>
    <xf numFmtId="49" fontId="6" fillId="0" borderId="4" xfId="0" applyNumberFormat="1" applyFont="1" applyFill="1" applyBorder="1" applyAlignment="1" applyProtection="1">
      <alignment horizontal="center"/>
    </xf>
    <xf numFmtId="49" fontId="3" fillId="0" borderId="0" xfId="0" applyNumberFormat="1" applyFont="1" applyFill="1" applyBorder="1" applyAlignment="1" applyProtection="1">
      <alignment horizontal="left"/>
    </xf>
    <xf numFmtId="174" fontId="38" fillId="0" borderId="0" xfId="2" applyNumberFormat="1" applyFont="1" applyProtection="1"/>
    <xf numFmtId="14" fontId="30" fillId="0" borderId="14" xfId="0" applyNumberFormat="1" applyFont="1" applyFill="1" applyBorder="1" applyAlignment="1" applyProtection="1">
      <alignment horizontal="center"/>
      <protection locked="0"/>
    </xf>
    <xf numFmtId="0" fontId="30" fillId="0" borderId="43" xfId="0" applyFont="1" applyFill="1" applyBorder="1" applyAlignment="1" applyProtection="1">
      <alignment horizontal="center"/>
      <protection locked="0"/>
    </xf>
    <xf numFmtId="0" fontId="30" fillId="0" borderId="53" xfId="0" applyFont="1" applyFill="1" applyBorder="1" applyAlignment="1" applyProtection="1">
      <alignment horizontal="center"/>
      <protection locked="0"/>
    </xf>
    <xf numFmtId="37" fontId="28" fillId="0" borderId="43" xfId="2" applyNumberFormat="1" applyFont="1" applyBorder="1" applyProtection="1"/>
    <xf numFmtId="0" fontId="29" fillId="0" borderId="15" xfId="0" quotePrefix="1" applyFont="1" applyFill="1" applyBorder="1" applyAlignment="1" applyProtection="1">
      <alignment horizontal="left"/>
      <protection locked="0"/>
    </xf>
    <xf numFmtId="0" fontId="29" fillId="0" borderId="43" xfId="0" applyFont="1" applyBorder="1"/>
    <xf numFmtId="0" fontId="30" fillId="0" borderId="0" xfId="0" applyFont="1" applyFill="1" applyBorder="1" applyAlignment="1" applyProtection="1">
      <alignment horizontal="left"/>
      <protection locked="0"/>
    </xf>
    <xf numFmtId="0" fontId="30" fillId="0" borderId="0" xfId="0" applyFont="1" applyFill="1" applyBorder="1" applyAlignment="1">
      <alignment horizontal="left"/>
    </xf>
    <xf numFmtId="37" fontId="29" fillId="0" borderId="16" xfId="2" applyNumberFormat="1" applyFont="1" applyBorder="1" applyProtection="1"/>
    <xf numFmtId="0" fontId="29" fillId="0" borderId="16" xfId="0" applyFont="1" applyBorder="1"/>
    <xf numFmtId="0" fontId="30" fillId="0" borderId="54" xfId="0" applyFont="1" applyBorder="1" applyAlignment="1">
      <alignment horizontal="center"/>
    </xf>
    <xf numFmtId="0" fontId="30" fillId="0" borderId="43" xfId="0" applyFont="1" applyBorder="1" applyAlignment="1">
      <alignment horizontal="center"/>
    </xf>
    <xf numFmtId="0" fontId="30" fillId="0" borderId="55" xfId="0" applyFont="1" applyBorder="1" applyAlignment="1">
      <alignment horizontal="center"/>
    </xf>
    <xf numFmtId="3" fontId="29" fillId="0" borderId="43" xfId="0" applyNumberFormat="1" applyFont="1" applyBorder="1"/>
    <xf numFmtId="3" fontId="29" fillId="0" borderId="42" xfId="0" applyNumberFormat="1" applyFont="1" applyBorder="1"/>
    <xf numFmtId="175" fontId="29" fillId="0" borderId="56" xfId="0" applyNumberFormat="1" applyFont="1" applyBorder="1"/>
    <xf numFmtId="175" fontId="29" fillId="0" borderId="43" xfId="0" applyNumberFormat="1" applyFont="1" applyBorder="1"/>
    <xf numFmtId="175" fontId="29" fillId="0" borderId="42" xfId="0" applyNumberFormat="1" applyFont="1" applyBorder="1"/>
    <xf numFmtId="175" fontId="29" fillId="0" borderId="0" xfId="0" applyNumberFormat="1" applyFont="1"/>
    <xf numFmtId="175" fontId="30" fillId="0" borderId="49" xfId="0" applyNumberFormat="1" applyFont="1" applyFill="1" applyBorder="1" applyAlignment="1" applyProtection="1">
      <alignment horizontal="center"/>
      <protection locked="0"/>
    </xf>
    <xf numFmtId="175" fontId="29" fillId="0" borderId="16" xfId="0" applyNumberFormat="1" applyFont="1" applyFill="1" applyBorder="1" applyAlignment="1" applyProtection="1">
      <protection locked="0"/>
    </xf>
    <xf numFmtId="175" fontId="29" fillId="0" borderId="43" xfId="0" applyNumberFormat="1" applyFont="1" applyFill="1" applyBorder="1" applyAlignment="1" applyProtection="1">
      <protection locked="0"/>
    </xf>
    <xf numFmtId="175" fontId="29" fillId="0" borderId="19" xfId="0" applyNumberFormat="1" applyFont="1" applyFill="1" applyBorder="1" applyAlignment="1" applyProtection="1">
      <protection locked="0"/>
    </xf>
    <xf numFmtId="175" fontId="30" fillId="0" borderId="57" xfId="0" applyNumberFormat="1" applyFont="1" applyFill="1" applyBorder="1" applyAlignment="1" applyProtection="1">
      <alignment horizontal="center"/>
      <protection locked="0"/>
    </xf>
    <xf numFmtId="175" fontId="29" fillId="0" borderId="17" xfId="0" applyNumberFormat="1" applyFont="1" applyFill="1" applyBorder="1" applyAlignment="1" applyProtection="1">
      <protection locked="0"/>
    </xf>
    <xf numFmtId="175" fontId="29" fillId="0" borderId="17" xfId="0" applyNumberFormat="1" applyFont="1" applyBorder="1"/>
    <xf numFmtId="175" fontId="29" fillId="0" borderId="58" xfId="0" applyNumberFormat="1" applyFont="1" applyFill="1" applyBorder="1" applyAlignment="1" applyProtection="1">
      <protection locked="0"/>
    </xf>
    <xf numFmtId="5" fontId="29" fillId="0" borderId="12" xfId="0" applyNumberFormat="1" applyFont="1" applyFill="1" applyBorder="1" applyAlignment="1" applyProtection="1">
      <protection locked="0"/>
    </xf>
    <xf numFmtId="5" fontId="29" fillId="0" borderId="12" xfId="0" applyNumberFormat="1" applyFont="1" applyBorder="1"/>
    <xf numFmtId="5" fontId="29" fillId="0" borderId="28" xfId="0" applyNumberFormat="1" applyFont="1" applyFill="1" applyBorder="1" applyAlignment="1" applyProtection="1">
      <protection locked="0"/>
    </xf>
    <xf numFmtId="5" fontId="29" fillId="0" borderId="12" xfId="0" quotePrefix="1" applyNumberFormat="1" applyFont="1" applyFill="1" applyBorder="1" applyAlignment="1" applyProtection="1">
      <alignment horizontal="right"/>
      <protection locked="0"/>
    </xf>
    <xf numFmtId="5" fontId="29" fillId="0" borderId="59" xfId="0" applyNumberFormat="1" applyFont="1" applyFill="1" applyBorder="1" applyAlignment="1" applyProtection="1">
      <protection locked="0"/>
    </xf>
    <xf numFmtId="5" fontId="29" fillId="0" borderId="31" xfId="0" applyNumberFormat="1" applyFont="1" applyBorder="1"/>
    <xf numFmtId="37" fontId="1" fillId="0" borderId="4" xfId="0" applyNumberFormat="1" applyFont="1" applyFill="1" applyBorder="1" applyAlignment="1" applyProtection="1">
      <alignment horizontal="center"/>
    </xf>
    <xf numFmtId="0" fontId="1" fillId="0" borderId="47" xfId="0" applyFont="1" applyFill="1" applyBorder="1" applyAlignment="1" applyProtection="1">
      <alignment horizontal="center" vertical="center" wrapText="1"/>
    </xf>
    <xf numFmtId="0" fontId="3" fillId="0" borderId="21" xfId="0" applyFont="1" applyBorder="1" applyAlignment="1">
      <alignment horizontal="center"/>
    </xf>
    <xf numFmtId="0" fontId="0" fillId="0" borderId="21" xfId="0" applyBorder="1" applyAlignment="1">
      <alignment horizontal="center"/>
    </xf>
    <xf numFmtId="37" fontId="11" fillId="0" borderId="0" xfId="0" applyNumberFormat="1" applyFont="1" applyFill="1" applyBorder="1" applyAlignment="1" applyProtection="1">
      <alignment horizontal="center"/>
    </xf>
    <xf numFmtId="0" fontId="9" fillId="0" borderId="0" xfId="0" applyFont="1" applyFill="1" applyBorder="1" applyAlignment="1" applyProtection="1">
      <alignment horizontal="center"/>
    </xf>
    <xf numFmtId="0" fontId="0" fillId="0" borderId="40" xfId="0" applyFill="1" applyBorder="1" applyAlignment="1" applyProtection="1">
      <alignment horizontal="center"/>
    </xf>
    <xf numFmtId="0" fontId="2" fillId="0" borderId="60" xfId="0" applyFont="1" applyFill="1" applyBorder="1" applyAlignment="1" applyProtection="1">
      <alignment horizontal="center"/>
    </xf>
    <xf numFmtId="7" fontId="0" fillId="0" borderId="60" xfId="0" applyNumberFormat="1" applyFill="1" applyBorder="1" applyAlignment="1" applyProtection="1"/>
    <xf numFmtId="0" fontId="0" fillId="0" borderId="40" xfId="0" applyBorder="1" applyAlignment="1">
      <alignment horizontal="center"/>
    </xf>
    <xf numFmtId="0" fontId="1" fillId="0" borderId="0" xfId="0" applyFont="1" applyBorder="1"/>
    <xf numFmtId="49" fontId="1" fillId="0" borderId="4" xfId="0" applyNumberFormat="1" applyFont="1" applyFill="1" applyBorder="1" applyAlignment="1" applyProtection="1">
      <alignment horizontal="center"/>
    </xf>
    <xf numFmtId="16" fontId="1" fillId="0" borderId="24" xfId="0" applyNumberFormat="1" applyFont="1" applyFill="1" applyBorder="1" applyAlignment="1" applyProtection="1">
      <alignment horizontal="left"/>
    </xf>
    <xf numFmtId="0" fontId="25" fillId="0" borderId="0" xfId="0" applyFont="1"/>
    <xf numFmtId="14" fontId="30" fillId="0" borderId="16" xfId="0" applyNumberFormat="1" applyFont="1" applyFill="1" applyBorder="1" applyAlignment="1" applyProtection="1">
      <alignment horizontal="center"/>
      <protection locked="0"/>
    </xf>
    <xf numFmtId="8" fontId="41" fillId="0" borderId="0" xfId="2" applyNumberFormat="1" applyFont="1" applyFill="1"/>
    <xf numFmtId="37" fontId="3" fillId="0" borderId="16" xfId="0" applyNumberFormat="1" applyFont="1" applyFill="1" applyBorder="1" applyAlignment="1" applyProtection="1">
      <protection locked="0"/>
    </xf>
    <xf numFmtId="5" fontId="3" fillId="0" borderId="16" xfId="0" applyNumberFormat="1" applyFont="1" applyFill="1" applyBorder="1" applyAlignment="1" applyProtection="1">
      <protection locked="0"/>
    </xf>
    <xf numFmtId="0" fontId="3" fillId="0" borderId="43" xfId="0" applyFont="1" applyBorder="1"/>
    <xf numFmtId="37" fontId="3" fillId="0" borderId="19" xfId="0" applyNumberFormat="1" applyFont="1" applyFill="1" applyBorder="1" applyAlignment="1" applyProtection="1">
      <protection locked="0"/>
    </xf>
    <xf numFmtId="5" fontId="3" fillId="0" borderId="19" xfId="0" applyNumberFormat="1" applyFont="1" applyFill="1" applyBorder="1" applyAlignment="1" applyProtection="1">
      <protection locked="0"/>
    </xf>
    <xf numFmtId="7" fontId="41" fillId="0" borderId="0" xfId="0" applyNumberFormat="1" applyFont="1"/>
    <xf numFmtId="37" fontId="56" fillId="0" borderId="4" xfId="0" applyNumberFormat="1" applyFont="1" applyFill="1" applyBorder="1" applyAlignment="1" applyProtection="1">
      <alignment horizontal="center"/>
    </xf>
    <xf numFmtId="0" fontId="37" fillId="0" borderId="0" xfId="0" applyFont="1" applyFill="1" applyBorder="1" applyAlignment="1" applyProtection="1">
      <alignment horizontal="left"/>
    </xf>
    <xf numFmtId="0" fontId="37" fillId="0" borderId="0" xfId="0" applyFont="1" applyFill="1" applyBorder="1" applyAlignment="1">
      <alignment horizontal="left"/>
    </xf>
    <xf numFmtId="0" fontId="3" fillId="0" borderId="0" xfId="0" applyFont="1" applyFill="1" applyBorder="1" applyAlignment="1" applyProtection="1">
      <alignment horizontal="left"/>
    </xf>
    <xf numFmtId="0" fontId="3" fillId="0" borderId="0" xfId="0" quotePrefix="1" applyFont="1" applyFill="1" applyBorder="1" applyAlignment="1" applyProtection="1">
      <alignment horizontal="left"/>
    </xf>
    <xf numFmtId="16" fontId="3" fillId="0" borderId="0" xfId="0" quotePrefix="1" applyNumberFormat="1" applyFont="1" applyFill="1" applyBorder="1" applyAlignment="1" applyProtection="1">
      <alignment horizontal="left"/>
    </xf>
    <xf numFmtId="0" fontId="3" fillId="0" borderId="6" xfId="0" applyNumberFormat="1" applyFont="1" applyFill="1" applyBorder="1" applyAlignment="1" applyProtection="1">
      <alignment horizontal="left"/>
    </xf>
    <xf numFmtId="0" fontId="0" fillId="0" borderId="0" xfId="0" applyNumberFormat="1" applyFill="1" applyBorder="1" applyAlignment="1" applyProtection="1">
      <alignment horizontal="left"/>
    </xf>
    <xf numFmtId="0" fontId="3" fillId="0" borderId="0" xfId="0" applyNumberFormat="1" applyFont="1" applyFill="1" applyBorder="1" applyAlignment="1" applyProtection="1">
      <alignment horizontal="left"/>
    </xf>
    <xf numFmtId="0" fontId="3" fillId="0" borderId="0" xfId="0" quotePrefix="1" applyNumberFormat="1" applyFont="1" applyFill="1" applyBorder="1" applyAlignment="1" applyProtection="1">
      <alignment horizontal="left"/>
    </xf>
    <xf numFmtId="0" fontId="3" fillId="0" borderId="21" xfId="0" applyFont="1" applyFill="1" applyBorder="1" applyAlignment="1" applyProtection="1">
      <alignment horizontal="center"/>
    </xf>
    <xf numFmtId="168" fontId="0" fillId="0" borderId="60" xfId="0" applyNumberFormat="1" applyBorder="1"/>
    <xf numFmtId="7" fontId="57" fillId="0" borderId="0" xfId="2" applyNumberFormat="1" applyFont="1"/>
    <xf numFmtId="8" fontId="57" fillId="0" borderId="40" xfId="2" applyNumberFormat="1" applyFont="1" applyBorder="1" applyProtection="1"/>
    <xf numFmtId="16" fontId="58" fillId="0" borderId="0" xfId="0" applyNumberFormat="1" applyFont="1" applyAlignment="1" applyProtection="1">
      <alignment horizontal="right"/>
    </xf>
    <xf numFmtId="0" fontId="1" fillId="0" borderId="11" xfId="0" applyFont="1" applyBorder="1" applyAlignment="1">
      <alignment horizontal="right"/>
    </xf>
    <xf numFmtId="0" fontId="3" fillId="0" borderId="43" xfId="0" applyFont="1" applyFill="1" applyBorder="1" applyAlignment="1" applyProtection="1">
      <alignment horizontal="center"/>
    </xf>
    <xf numFmtId="0" fontId="3" fillId="0" borderId="67" xfId="0" applyFont="1" applyFill="1" applyBorder="1" applyAlignment="1" applyProtection="1">
      <alignment horizontal="center"/>
    </xf>
    <xf numFmtId="0" fontId="1" fillId="0" borderId="4" xfId="0" applyFont="1" applyFill="1" applyBorder="1" applyAlignment="1" applyProtection="1">
      <alignment horizontal="center"/>
    </xf>
    <xf numFmtId="0" fontId="1" fillId="0" borderId="45" xfId="0" applyFont="1" applyBorder="1" applyAlignment="1">
      <alignment horizontal="center"/>
    </xf>
    <xf numFmtId="0" fontId="48" fillId="8" borderId="0" xfId="0" applyFont="1" applyFill="1"/>
    <xf numFmtId="168" fontId="49" fillId="8" borderId="0" xfId="0" applyNumberFormat="1" applyFont="1" applyFill="1"/>
    <xf numFmtId="0" fontId="49" fillId="8" borderId="0" xfId="0" applyFont="1" applyFill="1"/>
    <xf numFmtId="0" fontId="23" fillId="8" borderId="0" xfId="0" applyFont="1" applyFill="1"/>
    <xf numFmtId="3" fontId="0" fillId="8" borderId="0" xfId="0" applyNumberFormat="1" applyFill="1"/>
    <xf numFmtId="0" fontId="20" fillId="8" borderId="0" xfId="0" applyFont="1" applyFill="1"/>
    <xf numFmtId="168" fontId="20" fillId="8" borderId="0" xfId="0" applyNumberFormat="1" applyFont="1" applyFill="1"/>
    <xf numFmtId="168" fontId="0" fillId="8" borderId="0" xfId="0" applyNumberFormat="1" applyFill="1"/>
    <xf numFmtId="0" fontId="0" fillId="8" borderId="0" xfId="0" applyFill="1"/>
    <xf numFmtId="0" fontId="21" fillId="8" borderId="0" xfId="0" applyFont="1" applyFill="1"/>
    <xf numFmtId="168" fontId="52" fillId="8" borderId="0" xfId="0" applyNumberFormat="1" applyFont="1" applyFill="1"/>
    <xf numFmtId="0" fontId="25" fillId="8" borderId="0" xfId="0" applyFont="1" applyFill="1" applyAlignment="1">
      <alignment horizontal="center"/>
    </xf>
    <xf numFmtId="3" fontId="3" fillId="8" borderId="0" xfId="0" applyNumberFormat="1" applyFont="1" applyFill="1" applyAlignment="1">
      <alignment horizontal="center"/>
    </xf>
    <xf numFmtId="168" fontId="53" fillId="8" borderId="0" xfId="0" applyNumberFormat="1" applyFont="1" applyFill="1"/>
    <xf numFmtId="168" fontId="59" fillId="8" borderId="0" xfId="0" applyNumberFormat="1" applyFont="1" applyFill="1"/>
    <xf numFmtId="2" fontId="0" fillId="0" borderId="0" xfId="0" applyNumberFormat="1"/>
    <xf numFmtId="0" fontId="1" fillId="0" borderId="43" xfId="0" applyFont="1" applyFill="1" applyBorder="1"/>
    <xf numFmtId="38" fontId="20" fillId="0" borderId="0" xfId="2" applyNumberFormat="1" applyFont="1" applyAlignment="1" applyProtection="1">
      <alignment horizontal="center"/>
    </xf>
    <xf numFmtId="0" fontId="0" fillId="0" borderId="7" xfId="0" applyFill="1" applyBorder="1" applyAlignment="1">
      <alignment horizontal="center"/>
    </xf>
    <xf numFmtId="37" fontId="4" fillId="0" borderId="0" xfId="2" applyNumberFormat="1" applyAlignment="1" applyProtection="1">
      <alignment horizontal="center"/>
    </xf>
    <xf numFmtId="37" fontId="38" fillId="0" borderId="0" xfId="2" applyNumberFormat="1" applyFont="1" applyAlignment="1" applyProtection="1">
      <alignment horizontal="center"/>
    </xf>
    <xf numFmtId="37" fontId="30" fillId="0" borderId="0" xfId="2" applyNumberFormat="1" applyFont="1" applyAlignment="1" applyProtection="1">
      <alignment horizontal="center"/>
    </xf>
    <xf numFmtId="0" fontId="29" fillId="0" borderId="0" xfId="2" applyFont="1" applyAlignment="1">
      <alignment horizontal="center"/>
    </xf>
    <xf numFmtId="38" fontId="30" fillId="0" borderId="0" xfId="2" applyNumberFormat="1" applyFont="1" applyProtection="1"/>
    <xf numFmtId="38" fontId="29" fillId="0" borderId="0" xfId="2" applyNumberFormat="1" applyFont="1"/>
    <xf numFmtId="8" fontId="30" fillId="0" borderId="0" xfId="2" applyNumberFormat="1" applyFont="1" applyProtection="1"/>
    <xf numFmtId="8" fontId="29" fillId="0" borderId="0" xfId="2" applyNumberFormat="1" applyFont="1"/>
    <xf numFmtId="170" fontId="30" fillId="0" borderId="0" xfId="2" applyNumberFormat="1" applyFont="1" applyProtection="1"/>
    <xf numFmtId="170" fontId="29" fillId="0" borderId="0" xfId="2" applyNumberFormat="1" applyFont="1"/>
    <xf numFmtId="7" fontId="30" fillId="0" borderId="0" xfId="2" applyNumberFormat="1" applyFont="1" applyProtection="1"/>
    <xf numFmtId="165" fontId="30" fillId="0" borderId="0" xfId="2" applyNumberFormat="1" applyFont="1" applyProtection="1"/>
    <xf numFmtId="37" fontId="30" fillId="0" borderId="0" xfId="2" applyNumberFormat="1" applyFont="1" applyProtection="1"/>
    <xf numFmtId="8" fontId="30" fillId="0" borderId="0" xfId="2" applyNumberFormat="1" applyFont="1"/>
    <xf numFmtId="38" fontId="29" fillId="0" borderId="0" xfId="2" applyNumberFormat="1" applyFont="1" applyProtection="1"/>
    <xf numFmtId="41" fontId="29" fillId="0" borderId="0" xfId="2" applyNumberFormat="1" applyFont="1" applyProtection="1"/>
    <xf numFmtId="38" fontId="60" fillId="0" borderId="0" xfId="2" applyNumberFormat="1" applyFont="1" applyProtection="1"/>
    <xf numFmtId="166" fontId="30" fillId="0" borderId="0" xfId="2" applyNumberFormat="1" applyFont="1" applyProtection="1"/>
    <xf numFmtId="37" fontId="61" fillId="0" borderId="0" xfId="2" applyNumberFormat="1" applyFont="1" applyBorder="1" applyAlignment="1" applyProtection="1">
      <alignment horizontal="left"/>
    </xf>
    <xf numFmtId="0" fontId="62" fillId="0" borderId="0" xfId="2" applyFont="1" applyBorder="1"/>
    <xf numFmtId="0" fontId="63" fillId="0" borderId="0" xfId="2" applyFont="1"/>
    <xf numFmtId="168" fontId="63" fillId="0" borderId="0" xfId="2" applyNumberFormat="1" applyFont="1"/>
    <xf numFmtId="0" fontId="62" fillId="0" borderId="0" xfId="2" applyFont="1" applyAlignment="1">
      <alignment horizontal="center"/>
    </xf>
    <xf numFmtId="37" fontId="62" fillId="0" borderId="0" xfId="2" applyNumberFormat="1" applyFont="1" applyBorder="1" applyAlignment="1" applyProtection="1">
      <alignment horizontal="center"/>
    </xf>
    <xf numFmtId="37" fontId="62" fillId="0" borderId="0" xfId="2" applyNumberFormat="1" applyFont="1" applyAlignment="1" applyProtection="1">
      <alignment horizontal="center"/>
    </xf>
    <xf numFmtId="0" fontId="62" fillId="0" borderId="0" xfId="2" applyFont="1" applyAlignment="1" applyProtection="1">
      <alignment horizontal="center"/>
    </xf>
    <xf numFmtId="37" fontId="62" fillId="0" borderId="0" xfId="2" applyNumberFormat="1" applyFont="1" applyAlignment="1" applyProtection="1">
      <alignment horizontal="left"/>
    </xf>
    <xf numFmtId="38" fontId="62" fillId="0" borderId="0" xfId="2" applyNumberFormat="1" applyFont="1" applyAlignment="1" applyProtection="1">
      <alignment horizontal="left"/>
    </xf>
    <xf numFmtId="37" fontId="64" fillId="0" borderId="0" xfId="2" applyNumberFormat="1" applyFont="1" applyProtection="1"/>
    <xf numFmtId="37" fontId="65" fillId="0" borderId="0" xfId="2" applyNumberFormat="1" applyFont="1" applyProtection="1"/>
    <xf numFmtId="0" fontId="62" fillId="0" borderId="0" xfId="2" applyFont="1"/>
    <xf numFmtId="8" fontId="62" fillId="0" borderId="0" xfId="2" applyNumberFormat="1" applyFont="1" applyAlignment="1" applyProtection="1">
      <alignment horizontal="left"/>
    </xf>
    <xf numFmtId="7" fontId="64" fillId="0" borderId="0" xfId="2" applyNumberFormat="1" applyFont="1" applyProtection="1"/>
    <xf numFmtId="7" fontId="65" fillId="0" borderId="0" xfId="2" applyNumberFormat="1" applyFont="1" applyProtection="1"/>
    <xf numFmtId="171" fontId="62" fillId="0" borderId="0" xfId="2" applyNumberFormat="1" applyFont="1"/>
    <xf numFmtId="170" fontId="62" fillId="0" borderId="0" xfId="2" applyNumberFormat="1" applyFont="1" applyAlignment="1" applyProtection="1">
      <alignment horizontal="left"/>
    </xf>
    <xf numFmtId="8" fontId="64" fillId="0" borderId="0" xfId="2" applyNumberFormat="1" applyFont="1" applyProtection="1"/>
    <xf numFmtId="8" fontId="65" fillId="0" borderId="0" xfId="2" applyNumberFormat="1" applyFont="1" applyProtection="1"/>
    <xf numFmtId="7" fontId="63" fillId="0" borderId="0" xfId="2" applyNumberFormat="1" applyFont="1" applyProtection="1"/>
    <xf numFmtId="7" fontId="62" fillId="0" borderId="0" xfId="2" applyNumberFormat="1" applyFont="1" applyProtection="1"/>
    <xf numFmtId="165" fontId="64" fillId="0" borderId="0" xfId="2" applyNumberFormat="1" applyFont="1" applyProtection="1"/>
    <xf numFmtId="169" fontId="65" fillId="0" borderId="0" xfId="2" applyNumberFormat="1" applyFont="1" applyProtection="1"/>
    <xf numFmtId="38" fontId="64" fillId="0" borderId="0" xfId="2" applyNumberFormat="1" applyFont="1" applyProtection="1"/>
    <xf numFmtId="38" fontId="65" fillId="0" borderId="0" xfId="2" applyNumberFormat="1" applyFont="1" applyProtection="1"/>
    <xf numFmtId="165" fontId="63" fillId="0" borderId="0" xfId="2" applyNumberFormat="1" applyFont="1" applyProtection="1"/>
    <xf numFmtId="165" fontId="62" fillId="0" borderId="0" xfId="2" applyNumberFormat="1" applyFont="1" applyProtection="1"/>
    <xf numFmtId="168" fontId="64" fillId="0" borderId="0" xfId="2" applyNumberFormat="1" applyFont="1" applyProtection="1"/>
    <xf numFmtId="168" fontId="65" fillId="0" borderId="0" xfId="2" applyNumberFormat="1" applyFont="1" applyProtection="1"/>
    <xf numFmtId="37" fontId="63" fillId="0" borderId="0" xfId="2" applyNumberFormat="1" applyFont="1" applyProtection="1"/>
    <xf numFmtId="37" fontId="62" fillId="0" borderId="0" xfId="2" applyNumberFormat="1" applyFont="1" applyProtection="1"/>
    <xf numFmtId="8" fontId="62" fillId="0" borderId="0" xfId="2" applyNumberFormat="1" applyFont="1"/>
    <xf numFmtId="7" fontId="64" fillId="0" borderId="0" xfId="2" applyNumberFormat="1" applyFont="1"/>
    <xf numFmtId="0" fontId="63" fillId="0" borderId="0" xfId="2" quotePrefix="1" applyFont="1"/>
    <xf numFmtId="171" fontId="64" fillId="0" borderId="0" xfId="2" applyNumberFormat="1" applyFont="1" applyProtection="1"/>
    <xf numFmtId="171" fontId="65" fillId="0" borderId="0" xfId="2" applyNumberFormat="1" applyFont="1" applyProtection="1"/>
    <xf numFmtId="37" fontId="64" fillId="6" borderId="0" xfId="2" applyNumberFormat="1" applyFont="1" applyFill="1" applyProtection="1"/>
    <xf numFmtId="37" fontId="65" fillId="6" borderId="0" xfId="2" applyNumberFormat="1" applyFont="1" applyFill="1" applyProtection="1"/>
    <xf numFmtId="38" fontId="62" fillId="0" borderId="0" xfId="2" applyNumberFormat="1" applyFont="1"/>
    <xf numFmtId="173" fontId="64" fillId="0" borderId="0" xfId="2" applyNumberFormat="1" applyFont="1" applyProtection="1"/>
    <xf numFmtId="172" fontId="64" fillId="0" borderId="0" xfId="2" applyNumberFormat="1" applyFont="1" applyProtection="1"/>
    <xf numFmtId="6" fontId="64" fillId="0" borderId="0" xfId="2" applyNumberFormat="1" applyFont="1" applyProtection="1"/>
    <xf numFmtId="0" fontId="62" fillId="0" borderId="0" xfId="2" applyFont="1" applyAlignment="1" applyProtection="1">
      <alignment horizontal="left"/>
    </xf>
    <xf numFmtId="41" fontId="63" fillId="0" borderId="0" xfId="2" applyNumberFormat="1" applyFont="1" applyProtection="1"/>
    <xf numFmtId="0" fontId="66" fillId="0" borderId="0" xfId="2" applyFont="1"/>
    <xf numFmtId="38" fontId="67" fillId="0" borderId="0" xfId="2" applyNumberFormat="1" applyFont="1" applyProtection="1"/>
    <xf numFmtId="0" fontId="63" fillId="0" borderId="0" xfId="2" applyFont="1" applyAlignment="1" applyProtection="1">
      <alignment horizontal="right"/>
    </xf>
    <xf numFmtId="37" fontId="65" fillId="0" borderId="0" xfId="2" applyNumberFormat="1" applyFont="1" applyAlignment="1" applyProtection="1">
      <alignment horizontal="left"/>
    </xf>
    <xf numFmtId="10" fontId="64" fillId="0" borderId="0" xfId="2" applyNumberFormat="1" applyFont="1" applyProtection="1"/>
    <xf numFmtId="10" fontId="65" fillId="0" borderId="0" xfId="2" applyNumberFormat="1" applyFont="1" applyProtection="1"/>
    <xf numFmtId="0" fontId="68" fillId="0" borderId="0" xfId="0" applyFont="1"/>
    <xf numFmtId="0" fontId="1" fillId="0" borderId="6" xfId="0" applyFont="1" applyFill="1" applyBorder="1" applyAlignment="1" applyProtection="1">
      <alignment horizontal="center"/>
    </xf>
    <xf numFmtId="0" fontId="3" fillId="0" borderId="21" xfId="0" applyFont="1" applyFill="1" applyBorder="1" applyAlignment="1" applyProtection="1">
      <alignment horizontal="left"/>
    </xf>
    <xf numFmtId="37" fontId="3" fillId="0" borderId="21" xfId="0" applyNumberFormat="1" applyFont="1" applyFill="1" applyBorder="1" applyAlignment="1" applyProtection="1"/>
    <xf numFmtId="37" fontId="3" fillId="0" borderId="21" xfId="0" applyNumberFormat="1" applyFont="1" applyFill="1" applyBorder="1" applyAlignment="1" applyProtection="1">
      <alignment horizontal="left"/>
    </xf>
    <xf numFmtId="0" fontId="3" fillId="0" borderId="40" xfId="0" applyFont="1" applyFill="1" applyBorder="1" applyAlignment="1">
      <alignment horizontal="left"/>
    </xf>
    <xf numFmtId="0" fontId="3" fillId="0" borderId="40" xfId="0" applyFont="1" applyFill="1" applyBorder="1" applyAlignment="1"/>
    <xf numFmtId="37" fontId="3" fillId="0" borderId="40" xfId="0" applyNumberFormat="1" applyFont="1" applyFill="1" applyBorder="1" applyAlignment="1" applyProtection="1"/>
    <xf numFmtId="0" fontId="3" fillId="0" borderId="21" xfId="0" applyFont="1" applyFill="1" applyBorder="1" applyAlignment="1">
      <alignment horizontal="left"/>
    </xf>
    <xf numFmtId="37" fontId="3" fillId="0" borderId="21" xfId="0" applyNumberFormat="1" applyFont="1" applyFill="1" applyBorder="1" applyAlignment="1">
      <alignment horizontal="left"/>
    </xf>
    <xf numFmtId="37" fontId="3" fillId="0" borderId="21" xfId="0" applyNumberFormat="1" applyFont="1" applyFill="1" applyBorder="1" applyAlignment="1"/>
    <xf numFmtId="37" fontId="41" fillId="0" borderId="21" xfId="0" applyNumberFormat="1" applyFont="1" applyFill="1" applyBorder="1" applyAlignment="1">
      <alignment horizontal="left"/>
    </xf>
    <xf numFmtId="38" fontId="41" fillId="0" borderId="21" xfId="2" applyNumberFormat="1" applyFont="1" applyBorder="1" applyProtection="1"/>
    <xf numFmtId="37" fontId="41" fillId="6" borderId="21" xfId="2" applyNumberFormat="1" applyFont="1" applyFill="1" applyBorder="1" applyProtection="1"/>
    <xf numFmtId="37" fontId="41" fillId="6" borderId="40" xfId="2" applyNumberFormat="1" applyFont="1" applyFill="1" applyBorder="1" applyProtection="1"/>
    <xf numFmtId="37" fontId="41" fillId="0" borderId="21" xfId="0" applyNumberFormat="1" applyFont="1" applyFill="1" applyBorder="1" applyAlignment="1"/>
    <xf numFmtId="37" fontId="41" fillId="0" borderId="40" xfId="0" applyNumberFormat="1" applyFont="1" applyFill="1" applyBorder="1" applyAlignment="1">
      <alignment horizontal="left"/>
    </xf>
    <xf numFmtId="38" fontId="41" fillId="0" borderId="40" xfId="2" applyNumberFormat="1" applyFont="1" applyBorder="1" applyProtection="1"/>
    <xf numFmtId="37" fontId="3" fillId="0" borderId="47" xfId="0" applyNumberFormat="1" applyFont="1" applyFill="1" applyBorder="1" applyAlignment="1" applyProtection="1"/>
    <xf numFmtId="38" fontId="3" fillId="0" borderId="21" xfId="0" applyNumberFormat="1" applyFont="1" applyBorder="1"/>
    <xf numFmtId="0" fontId="37" fillId="0" borderId="0" xfId="0" applyFont="1" applyAlignment="1" applyProtection="1">
      <alignment horizontal="left"/>
    </xf>
    <xf numFmtId="0" fontId="37" fillId="0" borderId="40" xfId="0" applyFont="1" applyBorder="1" applyAlignment="1" applyProtection="1">
      <alignment horizontal="center"/>
    </xf>
    <xf numFmtId="0" fontId="37" fillId="0" borderId="40" xfId="0" applyFont="1" applyBorder="1" applyAlignment="1">
      <alignment horizontal="center"/>
    </xf>
    <xf numFmtId="14" fontId="37" fillId="0" borderId="0" xfId="0" applyNumberFormat="1" applyFont="1" applyAlignment="1">
      <alignment horizontal="left"/>
    </xf>
    <xf numFmtId="14" fontId="37" fillId="0" borderId="35" xfId="0" applyNumberFormat="1" applyFont="1" applyBorder="1" applyAlignment="1" applyProtection="1">
      <alignment horizontal="center"/>
    </xf>
    <xf numFmtId="14" fontId="37" fillId="0" borderId="44" xfId="0" applyNumberFormat="1" applyFont="1" applyBorder="1" applyAlignment="1" applyProtection="1">
      <alignment horizontal="center"/>
    </xf>
    <xf numFmtId="14" fontId="37" fillId="0" borderId="34" xfId="0" quotePrefix="1" applyNumberFormat="1" applyFont="1" applyBorder="1" applyAlignment="1" applyProtection="1">
      <alignment horizontal="center"/>
    </xf>
    <xf numFmtId="14" fontId="37" fillId="0" borderId="33" xfId="0" applyNumberFormat="1" applyFont="1" applyBorder="1" applyAlignment="1" applyProtection="1">
      <alignment horizontal="center"/>
    </xf>
    <xf numFmtId="14" fontId="37" fillId="0" borderId="34" xfId="0" applyNumberFormat="1" applyFont="1" applyBorder="1" applyAlignment="1" applyProtection="1">
      <alignment horizontal="center"/>
    </xf>
    <xf numFmtId="14" fontId="37" fillId="0" borderId="0" xfId="0" applyNumberFormat="1" applyFont="1" applyBorder="1" applyAlignment="1" applyProtection="1">
      <alignment horizontal="center"/>
    </xf>
    <xf numFmtId="14" fontId="37" fillId="0" borderId="16" xfId="0" quotePrefix="1" applyNumberFormat="1" applyFont="1" applyBorder="1" applyAlignment="1" applyProtection="1">
      <alignment horizontal="center"/>
    </xf>
    <xf numFmtId="14" fontId="37" fillId="0" borderId="41" xfId="0" applyNumberFormat="1" applyFont="1" applyBorder="1" applyAlignment="1" applyProtection="1">
      <alignment horizontal="center"/>
    </xf>
    <xf numFmtId="14" fontId="37" fillId="0" borderId="19" xfId="0" quotePrefix="1" applyNumberFormat="1" applyFont="1" applyBorder="1" applyAlignment="1" applyProtection="1">
      <alignment horizontal="center"/>
    </xf>
    <xf numFmtId="14" fontId="37" fillId="0" borderId="16" xfId="0" applyNumberFormat="1" applyFont="1" applyBorder="1" applyAlignment="1" applyProtection="1">
      <alignment horizontal="center"/>
    </xf>
    <xf numFmtId="14" fontId="37" fillId="0" borderId="42" xfId="0" applyNumberFormat="1" applyFont="1" applyBorder="1" applyAlignment="1">
      <alignment horizontal="center"/>
    </xf>
    <xf numFmtId="14" fontId="25" fillId="0" borderId="42" xfId="0" applyNumberFormat="1" applyFont="1" applyBorder="1" applyAlignment="1">
      <alignment horizontal="center"/>
    </xf>
    <xf numFmtId="0" fontId="37" fillId="0" borderId="0" xfId="0" applyFont="1" applyAlignment="1" applyProtection="1">
      <alignment horizontal="center"/>
    </xf>
    <xf numFmtId="0" fontId="37" fillId="0" borderId="32" xfId="0" applyFont="1" applyBorder="1" applyAlignment="1" applyProtection="1">
      <alignment horizontal="center"/>
    </xf>
    <xf numFmtId="0" fontId="37" fillId="0" borderId="39" xfId="0" applyFont="1" applyBorder="1" applyAlignment="1" applyProtection="1">
      <alignment horizontal="center"/>
    </xf>
    <xf numFmtId="0" fontId="37" fillId="0" borderId="36" xfId="0" applyFont="1" applyBorder="1" applyAlignment="1" applyProtection="1">
      <alignment horizontal="center"/>
    </xf>
    <xf numFmtId="0" fontId="37" fillId="0" borderId="37" xfId="0" applyFont="1" applyBorder="1" applyAlignment="1">
      <alignment horizontal="center"/>
    </xf>
    <xf numFmtId="0" fontId="37" fillId="4" borderId="0" xfId="0" applyFont="1" applyFill="1" applyAlignment="1" applyProtection="1">
      <alignment horizontal="left"/>
    </xf>
    <xf numFmtId="0" fontId="46" fillId="0" borderId="32" xfId="0" applyFont="1" applyBorder="1" applyProtection="1"/>
    <xf numFmtId="0" fontId="25" fillId="4" borderId="32" xfId="0" applyFont="1" applyFill="1" applyBorder="1" applyProtection="1"/>
    <xf numFmtId="37" fontId="25" fillId="4" borderId="32" xfId="0" applyNumberFormat="1" applyFont="1" applyFill="1" applyBorder="1" applyProtection="1"/>
    <xf numFmtId="10" fontId="25" fillId="4" borderId="38" xfId="0" applyNumberFormat="1" applyFont="1" applyFill="1" applyBorder="1" applyProtection="1"/>
    <xf numFmtId="0" fontId="25" fillId="0" borderId="32" xfId="0" applyFont="1" applyBorder="1" applyProtection="1"/>
    <xf numFmtId="10" fontId="25" fillId="0" borderId="38" xfId="0" applyNumberFormat="1" applyFont="1" applyBorder="1" applyProtection="1"/>
    <xf numFmtId="37" fontId="25" fillId="2" borderId="32" xfId="0" applyNumberFormat="1" applyFont="1" applyFill="1" applyBorder="1" applyProtection="1"/>
    <xf numFmtId="37" fontId="25" fillId="5" borderId="32" xfId="0" applyNumberFormat="1" applyFont="1" applyFill="1" applyBorder="1" applyProtection="1"/>
    <xf numFmtId="37" fontId="25" fillId="3" borderId="32" xfId="0" applyNumberFormat="1" applyFont="1" applyFill="1" applyBorder="1" applyProtection="1"/>
    <xf numFmtId="0" fontId="37" fillId="7" borderId="0" xfId="0" applyFont="1" applyFill="1" applyAlignment="1" applyProtection="1">
      <alignment horizontal="left"/>
    </xf>
    <xf numFmtId="0" fontId="25" fillId="7" borderId="32" xfId="0" applyFont="1" applyFill="1" applyBorder="1" applyProtection="1"/>
    <xf numFmtId="10" fontId="25" fillId="7" borderId="38" xfId="0" applyNumberFormat="1" applyFont="1" applyFill="1" applyBorder="1" applyProtection="1"/>
    <xf numFmtId="0" fontId="37" fillId="4" borderId="50" xfId="0" applyFont="1" applyFill="1" applyBorder="1" applyAlignment="1" applyProtection="1">
      <alignment horizontal="left"/>
    </xf>
    <xf numFmtId="0" fontId="25" fillId="0" borderId="0" xfId="0" applyFont="1" applyAlignment="1" applyProtection="1">
      <alignment horizontal="left"/>
    </xf>
    <xf numFmtId="37" fontId="37" fillId="0" borderId="0" xfId="0" applyNumberFormat="1" applyFont="1" applyProtection="1"/>
    <xf numFmtId="9" fontId="37" fillId="0" borderId="0" xfId="0" applyNumberFormat="1" applyFont="1" applyProtection="1"/>
    <xf numFmtId="0" fontId="37" fillId="0" borderId="0" xfId="0" applyFont="1" applyBorder="1" applyAlignment="1" applyProtection="1">
      <alignment horizontal="left"/>
    </xf>
    <xf numFmtId="37" fontId="37" fillId="0" borderId="0" xfId="0" applyNumberFormat="1" applyFont="1"/>
    <xf numFmtId="0" fontId="25" fillId="0" borderId="0" xfId="0" applyFont="1" applyAlignment="1" applyProtection="1">
      <alignment horizontal="right"/>
    </xf>
    <xf numFmtId="37" fontId="69" fillId="0" borderId="0" xfId="0" applyNumberFormat="1" applyFont="1" applyProtection="1"/>
    <xf numFmtId="37" fontId="37" fillId="0" borderId="0" xfId="0" applyNumberFormat="1" applyFont="1" applyAlignment="1" applyProtection="1">
      <alignment horizontal="right"/>
    </xf>
    <xf numFmtId="37" fontId="37" fillId="0" borderId="0" xfId="0" applyNumberFormat="1" applyFont="1" applyAlignment="1" applyProtection="1">
      <alignment horizontal="left"/>
    </xf>
    <xf numFmtId="10" fontId="37" fillId="0" borderId="0" xfId="0" applyNumberFormat="1" applyFont="1" applyProtection="1"/>
    <xf numFmtId="37" fontId="25" fillId="0" borderId="0" xfId="0" applyNumberFormat="1" applyFont="1"/>
    <xf numFmtId="9" fontId="25" fillId="0" borderId="0" xfId="0" applyNumberFormat="1" applyFont="1"/>
    <xf numFmtId="0" fontId="1" fillId="0" borderId="6" xfId="0" applyFont="1" applyFill="1" applyBorder="1" applyAlignment="1" applyProtection="1">
      <alignment horizontal="center" wrapText="1"/>
    </xf>
    <xf numFmtId="0" fontId="3" fillId="0" borderId="4" xfId="0" applyFont="1" applyBorder="1" applyAlignment="1">
      <alignment horizontal="center" wrapText="1"/>
    </xf>
    <xf numFmtId="0" fontId="1" fillId="0" borderId="0" xfId="0" applyFont="1" applyFill="1" applyBorder="1" applyAlignment="1" applyProtection="1">
      <alignment horizontal="center" wrapText="1"/>
    </xf>
    <xf numFmtId="0" fontId="3" fillId="0" borderId="0" xfId="0" applyFont="1" applyBorder="1" applyAlignment="1">
      <alignment horizontal="center" wrapText="1"/>
    </xf>
    <xf numFmtId="0" fontId="5" fillId="0" borderId="0" xfId="0" applyFont="1" applyFill="1" applyBorder="1" applyAlignment="1" applyProtection="1">
      <alignment horizontal="center" wrapText="1"/>
    </xf>
    <xf numFmtId="0" fontId="0" fillId="0" borderId="1" xfId="0" applyBorder="1" applyAlignment="1">
      <alignment horizontal="center" wrapText="1"/>
    </xf>
    <xf numFmtId="0" fontId="37" fillId="0" borderId="63" xfId="0" applyFont="1" applyBorder="1" applyAlignment="1" applyProtection="1">
      <alignment horizontal="center"/>
    </xf>
    <xf numFmtId="0" fontId="37" fillId="0" borderId="64" xfId="0" applyFont="1" applyBorder="1" applyAlignment="1" applyProtection="1">
      <alignment horizontal="center"/>
    </xf>
    <xf numFmtId="0" fontId="37" fillId="0" borderId="65" xfId="0" applyFont="1" applyBorder="1" applyAlignment="1" applyProtection="1">
      <alignment horizontal="center"/>
    </xf>
    <xf numFmtId="0" fontId="37" fillId="0" borderId="61" xfId="0" applyFont="1" applyBorder="1" applyAlignment="1" applyProtection="1">
      <alignment horizontal="center"/>
    </xf>
    <xf numFmtId="0" fontId="37" fillId="0" borderId="62" xfId="0" applyFont="1" applyBorder="1" applyAlignment="1" applyProtection="1">
      <alignment horizontal="center"/>
    </xf>
    <xf numFmtId="0" fontId="22" fillId="0" borderId="66" xfId="0" applyFont="1" applyBorder="1" applyAlignment="1">
      <alignment horizontal="center" vertical="top"/>
    </xf>
    <xf numFmtId="0" fontId="0" fillId="0" borderId="7" xfId="0" applyBorder="1" applyAlignment="1">
      <alignment horizontal="center" vertical="top"/>
    </xf>
  </cellXfs>
  <cellStyles count="3">
    <cellStyle name="Normal" xfId="0" builtinId="0"/>
    <cellStyle name="Normal 2" xfId="1"/>
    <cellStyle name="Normal_ANNRPT6S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hartsheet" Target="chartsheets/sheet2.xml"/><Relationship Id="rId13" Type="http://schemas.openxmlformats.org/officeDocument/2006/relationships/worksheet" Target="worksheets/sheet10.xml"/><Relationship Id="rId18" Type="http://schemas.openxmlformats.org/officeDocument/2006/relationships/worksheet" Target="worksheets/sheet13.xml"/><Relationship Id="rId26" Type="http://schemas.openxmlformats.org/officeDocument/2006/relationships/worksheet" Target="worksheets/sheet1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15.xml"/><Relationship Id="rId7" Type="http://schemas.openxmlformats.org/officeDocument/2006/relationships/worksheet" Target="worksheets/sheet6.xml"/><Relationship Id="rId12" Type="http://schemas.openxmlformats.org/officeDocument/2006/relationships/chartsheet" Target="chartsheets/sheet3.xml"/><Relationship Id="rId17" Type="http://schemas.openxmlformats.org/officeDocument/2006/relationships/worksheet" Target="worksheets/sheet12.xml"/><Relationship Id="rId25" Type="http://schemas.openxmlformats.org/officeDocument/2006/relationships/worksheet" Target="worksheets/sheet18.xml"/><Relationship Id="rId33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chartsheet" Target="chartsheets/sheet5.xml"/><Relationship Id="rId20" Type="http://schemas.openxmlformats.org/officeDocument/2006/relationships/worksheet" Target="worksheets/sheet14.xml"/><Relationship Id="rId29" Type="http://schemas.openxmlformats.org/officeDocument/2006/relationships/worksheet" Target="worksheets/sheet2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5.xml"/><Relationship Id="rId11" Type="http://schemas.openxmlformats.org/officeDocument/2006/relationships/worksheet" Target="worksheets/sheet9.xml"/><Relationship Id="rId24" Type="http://schemas.openxmlformats.org/officeDocument/2006/relationships/worksheet" Target="worksheets/sheet17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4.xml"/><Relationship Id="rId15" Type="http://schemas.openxmlformats.org/officeDocument/2006/relationships/worksheet" Target="worksheets/sheet11.xml"/><Relationship Id="rId23" Type="http://schemas.openxmlformats.org/officeDocument/2006/relationships/chartsheet" Target="chartsheets/sheet7.xml"/><Relationship Id="rId28" Type="http://schemas.openxmlformats.org/officeDocument/2006/relationships/worksheet" Target="worksheets/sheet21.xml"/><Relationship Id="rId10" Type="http://schemas.openxmlformats.org/officeDocument/2006/relationships/worksheet" Target="worksheets/sheet8.xml"/><Relationship Id="rId19" Type="http://schemas.openxmlformats.org/officeDocument/2006/relationships/chartsheet" Target="chartsheets/sheet6.xml"/><Relationship Id="rId31" Type="http://schemas.openxmlformats.org/officeDocument/2006/relationships/styles" Target="styles.xml"/><Relationship Id="rId4" Type="http://schemas.openxmlformats.org/officeDocument/2006/relationships/chartsheet" Target="chartsheets/sheet1.xml"/><Relationship Id="rId9" Type="http://schemas.openxmlformats.org/officeDocument/2006/relationships/worksheet" Target="worksheets/sheet7.xml"/><Relationship Id="rId14" Type="http://schemas.openxmlformats.org/officeDocument/2006/relationships/chartsheet" Target="chartsheets/sheet4.xml"/><Relationship Id="rId22" Type="http://schemas.openxmlformats.org/officeDocument/2006/relationships/worksheet" Target="worksheets/sheet16.xml"/><Relationship Id="rId27" Type="http://schemas.openxmlformats.org/officeDocument/2006/relationships/worksheet" Target="worksheets/sheet20.xml"/><Relationship Id="rId30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/>
              <a:t>3 YEAR KWH CONSUMPTION COMPARISON</a:t>
            </a:r>
          </a:p>
        </c:rich>
      </c:tx>
      <c:layout>
        <c:manualLayout>
          <c:xMode val="edge"/>
          <c:yMode val="edge"/>
          <c:x val="0.30769230769230782"/>
          <c:y val="1.9639934533551555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2411742846525479"/>
          <c:y val="0.13256955810147344"/>
          <c:w val="0.7881828316610926"/>
          <c:h val="0.70540098199671009"/>
        </c:manualLayout>
      </c:layout>
      <c:lineChart>
        <c:grouping val="standard"/>
        <c:ser>
          <c:idx val="3"/>
          <c:order val="0"/>
          <c:tx>
            <c:v>'10-'11</c:v>
          </c:tx>
          <c:spPr>
            <a:ln w="12700">
              <a:solidFill>
                <a:srgbClr val="0000FF"/>
              </a:solidFill>
              <a:prstDash val="solid"/>
            </a:ln>
          </c:spPr>
          <c:marker>
            <c:symbol val="triangle"/>
            <c:size val="8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val>
            <c:numRef>
              <c:f>'KWH Consumption'!$B$22:$M$22</c:f>
              <c:numCache>
                <c:formatCode>#,##0_);\(#,##0\)</c:formatCode>
                <c:ptCount val="12"/>
                <c:pt idx="0">
                  <c:v>945000</c:v>
                </c:pt>
                <c:pt idx="1">
                  <c:v>1044400</c:v>
                </c:pt>
                <c:pt idx="2">
                  <c:v>983500</c:v>
                </c:pt>
                <c:pt idx="3">
                  <c:v>992600</c:v>
                </c:pt>
                <c:pt idx="4">
                  <c:v>998200</c:v>
                </c:pt>
                <c:pt idx="5">
                  <c:v>1003100</c:v>
                </c:pt>
                <c:pt idx="6">
                  <c:v>1118600</c:v>
                </c:pt>
                <c:pt idx="7">
                  <c:v>1021300</c:v>
                </c:pt>
                <c:pt idx="8">
                  <c:v>1008000</c:v>
                </c:pt>
                <c:pt idx="9">
                  <c:v>968800</c:v>
                </c:pt>
                <c:pt idx="10">
                  <c:v>947800</c:v>
                </c:pt>
                <c:pt idx="11">
                  <c:v>856100</c:v>
                </c:pt>
              </c:numCache>
            </c:numRef>
          </c:val>
        </c:ser>
        <c:ser>
          <c:idx val="1"/>
          <c:order val="1"/>
          <c:tx>
            <c:v>'11-'12</c:v>
          </c:tx>
          <c:val>
            <c:numRef>
              <c:f>'KWH Consumption'!$B$23:$M$23</c:f>
              <c:numCache>
                <c:formatCode>#,##0_);\(#,##0\)</c:formatCode>
                <c:ptCount val="12"/>
                <c:pt idx="0">
                  <c:v>812000</c:v>
                </c:pt>
                <c:pt idx="1">
                  <c:v>1013600</c:v>
                </c:pt>
                <c:pt idx="2">
                  <c:v>978600</c:v>
                </c:pt>
                <c:pt idx="3">
                  <c:v>975100</c:v>
                </c:pt>
                <c:pt idx="4">
                  <c:v>963200</c:v>
                </c:pt>
                <c:pt idx="5">
                  <c:v>918400</c:v>
                </c:pt>
                <c:pt idx="6">
                  <c:v>1080100</c:v>
                </c:pt>
                <c:pt idx="7">
                  <c:v>929600</c:v>
                </c:pt>
                <c:pt idx="8">
                  <c:v>1026200</c:v>
                </c:pt>
                <c:pt idx="9">
                  <c:v>931000</c:v>
                </c:pt>
                <c:pt idx="10">
                  <c:v>1026200</c:v>
                </c:pt>
                <c:pt idx="11">
                  <c:v>800100</c:v>
                </c:pt>
              </c:numCache>
            </c:numRef>
          </c:val>
        </c:ser>
        <c:ser>
          <c:idx val="0"/>
          <c:order val="2"/>
          <c:tx>
            <c:v>'12-'13</c:v>
          </c:tx>
          <c:val>
            <c:numRef>
              <c:f>'KWH Consumption'!$B$24:$M$24</c:f>
              <c:numCache>
                <c:formatCode>#,##0_);\(#,##0\)</c:formatCode>
                <c:ptCount val="12"/>
                <c:pt idx="0">
                  <c:v>912800</c:v>
                </c:pt>
                <c:pt idx="1">
                  <c:v>1193500</c:v>
                </c:pt>
                <c:pt idx="2">
                  <c:v>866600</c:v>
                </c:pt>
                <c:pt idx="3">
                  <c:v>1045800</c:v>
                </c:pt>
                <c:pt idx="4">
                  <c:v>947800</c:v>
                </c:pt>
                <c:pt idx="5">
                  <c:v>1035300</c:v>
                </c:pt>
                <c:pt idx="6">
                  <c:v>1059100</c:v>
                </c:pt>
                <c:pt idx="7">
                  <c:v>953400</c:v>
                </c:pt>
                <c:pt idx="8">
                  <c:v>1057700</c:v>
                </c:pt>
                <c:pt idx="9">
                  <c:v>971600</c:v>
                </c:pt>
                <c:pt idx="10">
                  <c:v>1005200</c:v>
                </c:pt>
                <c:pt idx="11">
                  <c:v>867300</c:v>
                </c:pt>
              </c:numCache>
            </c:numRef>
          </c:val>
        </c:ser>
        <c:dLbls/>
        <c:marker val="1"/>
        <c:axId val="87308160"/>
        <c:axId val="87318528"/>
      </c:lineChart>
      <c:catAx>
        <c:axId val="87308160"/>
        <c:scaling>
          <c:orientation val="minMax"/>
        </c:scaling>
        <c:delete val="1"/>
        <c:axPos val="b"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MONTH</a:t>
                </a:r>
              </a:p>
            </c:rich>
          </c:tx>
          <c:layout>
            <c:manualLayout>
              <c:xMode val="edge"/>
              <c:yMode val="edge"/>
              <c:x val="0.48606465997771103"/>
              <c:y val="0.9296235679214403"/>
            </c:manualLayout>
          </c:layout>
          <c:spPr>
            <a:noFill/>
            <a:ln w="25400">
              <a:noFill/>
            </a:ln>
          </c:spPr>
        </c:title>
        <c:tickLblPos val="none"/>
        <c:crossAx val="87318528"/>
        <c:crosses val="autoZero"/>
        <c:lblAlgn val="ctr"/>
        <c:lblOffset val="100"/>
      </c:catAx>
      <c:valAx>
        <c:axId val="87318528"/>
        <c:scaling>
          <c:orientation val="minMax"/>
          <c:max val="1500000"/>
          <c:min val="600000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 rot="-5400000" vert="horz"/>
              <a:lstStyle/>
              <a:p>
                <a:pPr algn="ctr">
                  <a:defRPr sz="10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KILOWATTS</a:t>
                </a:r>
              </a:p>
            </c:rich>
          </c:tx>
          <c:layout>
            <c:manualLayout>
              <c:xMode val="edge"/>
              <c:yMode val="edge"/>
              <c:x val="1.5607580824972263E-2"/>
              <c:y val="0.45008183306055682"/>
            </c:manualLayout>
          </c:layout>
          <c:spPr>
            <a:noFill/>
            <a:ln w="25400">
              <a:noFill/>
            </a:ln>
          </c:spPr>
        </c:title>
        <c:numFmt formatCode="#,##0_);\(#,##0\)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7308160"/>
        <c:crosses val="autoZero"/>
        <c:crossBetween val="midCat"/>
      </c:valAx>
      <c:spPr>
        <a:solidFill>
          <a:srgbClr val="FFFFFF"/>
        </a:solidFill>
        <a:ln w="12700">
          <a:solidFill>
            <a:srgbClr val="FFFFFF"/>
          </a:solidFill>
          <a:prstDash val="solid"/>
        </a:ln>
      </c:spPr>
    </c:plotArea>
    <c:legend>
      <c:legendPos val="t"/>
      <c:layout>
        <c:manualLayout>
          <c:xMode val="edge"/>
          <c:yMode val="edge"/>
          <c:x val="0.33704942400594962"/>
          <c:y val="0.13638843426077471"/>
          <c:w val="0.27309720064256177"/>
          <c:h val="3.5302052055277047E-2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noFill/>
    <a:ln w="9525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2597547380156079"/>
          <c:y val="0.32242225859248186"/>
          <c:w val="0.74247491638795982"/>
          <c:h val="0.56792144026186575"/>
        </c:manualLayout>
      </c:layout>
      <c:barChart>
        <c:barDir val="col"/>
        <c:grouping val="clustered"/>
        <c:ser>
          <c:idx val="3"/>
          <c:order val="0"/>
          <c:tx>
            <c:strRef>
              <c:f>ELECOMs!$A$24</c:f>
              <c:strCache>
                <c:ptCount val="1"/>
                <c:pt idx="0">
                  <c:v>2010-11  ($908,135)</c:v>
                </c:pt>
              </c:strCache>
            </c:strRef>
          </c:tx>
          <c:cat>
            <c:strLit>
              <c:ptCount val="12"/>
              <c:pt idx="0">
                <c:v>JUN</c:v>
              </c:pt>
              <c:pt idx="1">
                <c:v>JUL</c:v>
              </c:pt>
              <c:pt idx="2">
                <c:v>AUG</c:v>
              </c:pt>
              <c:pt idx="3">
                <c:v>SEP</c:v>
              </c:pt>
              <c:pt idx="4">
                <c:v>OCT</c:v>
              </c:pt>
              <c:pt idx="5">
                <c:v>NOV</c:v>
              </c:pt>
              <c:pt idx="6">
                <c:v>DEC</c:v>
              </c:pt>
              <c:pt idx="7">
                <c:v>JAN</c:v>
              </c:pt>
              <c:pt idx="8">
                <c:v>FEB</c:v>
              </c:pt>
              <c:pt idx="9">
                <c:v>MAR</c:v>
              </c:pt>
              <c:pt idx="10">
                <c:v>APR</c:v>
              </c:pt>
              <c:pt idx="11">
                <c:v>MAY</c:v>
              </c:pt>
            </c:strLit>
          </c:cat>
          <c:val>
            <c:numRef>
              <c:f>ELECOMs!$B$24:$M$24</c:f>
              <c:numCache>
                <c:formatCode>"$"#,##0.00_);\("$"#,##0.00\)</c:formatCode>
                <c:ptCount val="12"/>
                <c:pt idx="0">
                  <c:v>77517</c:v>
                </c:pt>
                <c:pt idx="1">
                  <c:v>92420</c:v>
                </c:pt>
                <c:pt idx="2">
                  <c:v>84142</c:v>
                </c:pt>
                <c:pt idx="3">
                  <c:v>83195</c:v>
                </c:pt>
                <c:pt idx="4">
                  <c:v>72092</c:v>
                </c:pt>
                <c:pt idx="5">
                  <c:v>70693</c:v>
                </c:pt>
                <c:pt idx="6">
                  <c:v>77058</c:v>
                </c:pt>
                <c:pt idx="7">
                  <c:v>71415</c:v>
                </c:pt>
                <c:pt idx="8">
                  <c:v>69530</c:v>
                </c:pt>
                <c:pt idx="9">
                  <c:v>68396</c:v>
                </c:pt>
                <c:pt idx="10">
                  <c:v>70953</c:v>
                </c:pt>
                <c:pt idx="11">
                  <c:v>70724</c:v>
                </c:pt>
              </c:numCache>
            </c:numRef>
          </c:val>
        </c:ser>
        <c:ser>
          <c:idx val="10"/>
          <c:order val="1"/>
          <c:tx>
            <c:strRef>
              <c:f>ELECOMs!$A$25</c:f>
              <c:strCache>
                <c:ptCount val="1"/>
                <c:pt idx="0">
                  <c:v>2011-12  ($903,976)</c:v>
                </c:pt>
              </c:strCache>
            </c:strRef>
          </c:tx>
          <c:cat>
            <c:strLit>
              <c:ptCount val="12"/>
              <c:pt idx="0">
                <c:v>JUN</c:v>
              </c:pt>
              <c:pt idx="1">
                <c:v>JUL</c:v>
              </c:pt>
              <c:pt idx="2">
                <c:v>AUG</c:v>
              </c:pt>
              <c:pt idx="3">
                <c:v>SEP</c:v>
              </c:pt>
              <c:pt idx="4">
                <c:v>OCT</c:v>
              </c:pt>
              <c:pt idx="5">
                <c:v>NOV</c:v>
              </c:pt>
              <c:pt idx="6">
                <c:v>DEC</c:v>
              </c:pt>
              <c:pt idx="7">
                <c:v>JAN</c:v>
              </c:pt>
              <c:pt idx="8">
                <c:v>FEB</c:v>
              </c:pt>
              <c:pt idx="9">
                <c:v>MAR</c:v>
              </c:pt>
              <c:pt idx="10">
                <c:v>APR</c:v>
              </c:pt>
              <c:pt idx="11">
                <c:v>MAY</c:v>
              </c:pt>
            </c:strLit>
          </c:cat>
          <c:val>
            <c:numRef>
              <c:f>ELECOMs!$B$22:$M$22</c:f>
              <c:numCache>
                <c:formatCode>"$"#,##0.00_);\("$"#,##0.00\)</c:formatCode>
                <c:ptCount val="12"/>
                <c:pt idx="0">
                  <c:v>68156.67</c:v>
                </c:pt>
                <c:pt idx="1">
                  <c:v>105646.86</c:v>
                </c:pt>
                <c:pt idx="2">
                  <c:v>101187.56</c:v>
                </c:pt>
                <c:pt idx="3">
                  <c:v>98557.74</c:v>
                </c:pt>
                <c:pt idx="4">
                  <c:v>67070</c:v>
                </c:pt>
                <c:pt idx="5">
                  <c:v>75397.7</c:v>
                </c:pt>
                <c:pt idx="6">
                  <c:v>75465.64</c:v>
                </c:pt>
                <c:pt idx="7">
                  <c:v>70186.36</c:v>
                </c:pt>
                <c:pt idx="8">
                  <c:v>78862.78</c:v>
                </c:pt>
                <c:pt idx="9">
                  <c:v>70351.45</c:v>
                </c:pt>
                <c:pt idx="10">
                  <c:v>69667.75</c:v>
                </c:pt>
                <c:pt idx="11">
                  <c:v>66479.77</c:v>
                </c:pt>
              </c:numCache>
            </c:numRef>
          </c:val>
        </c:ser>
        <c:ser>
          <c:idx val="1"/>
          <c:order val="2"/>
          <c:tx>
            <c:strRef>
              <c:f>ELECOMs!$A$26</c:f>
              <c:strCache>
                <c:ptCount val="1"/>
                <c:pt idx="0">
                  <c:v>2012-13  ($979,799)</c:v>
                </c:pt>
              </c:strCache>
            </c:strRef>
          </c:tx>
          <c:cat>
            <c:strLit>
              <c:ptCount val="12"/>
              <c:pt idx="0">
                <c:v>JUN</c:v>
              </c:pt>
              <c:pt idx="1">
                <c:v>JUL</c:v>
              </c:pt>
              <c:pt idx="2">
                <c:v>AUG</c:v>
              </c:pt>
              <c:pt idx="3">
                <c:v>SEP</c:v>
              </c:pt>
              <c:pt idx="4">
                <c:v>OCT</c:v>
              </c:pt>
              <c:pt idx="5">
                <c:v>NOV</c:v>
              </c:pt>
              <c:pt idx="6">
                <c:v>DEC</c:v>
              </c:pt>
              <c:pt idx="7">
                <c:v>JAN</c:v>
              </c:pt>
              <c:pt idx="8">
                <c:v>FEB</c:v>
              </c:pt>
              <c:pt idx="9">
                <c:v>MAR</c:v>
              </c:pt>
              <c:pt idx="10">
                <c:v>APR</c:v>
              </c:pt>
              <c:pt idx="11">
                <c:v>MAY</c:v>
              </c:pt>
            </c:strLit>
          </c:cat>
          <c:val>
            <c:numRef>
              <c:f>ELECOMs!$B$26:$M$26</c:f>
              <c:numCache>
                <c:formatCode>"$"#,##0.00_);\("$"#,##0.00\)</c:formatCode>
                <c:ptCount val="12"/>
                <c:pt idx="0">
                  <c:v>81110</c:v>
                </c:pt>
                <c:pt idx="1">
                  <c:v>102382</c:v>
                </c:pt>
                <c:pt idx="2">
                  <c:v>80428</c:v>
                </c:pt>
                <c:pt idx="3">
                  <c:v>91329</c:v>
                </c:pt>
                <c:pt idx="4">
                  <c:v>78146</c:v>
                </c:pt>
                <c:pt idx="5">
                  <c:v>75530</c:v>
                </c:pt>
                <c:pt idx="6">
                  <c:v>77403</c:v>
                </c:pt>
                <c:pt idx="7">
                  <c:v>73147</c:v>
                </c:pt>
                <c:pt idx="8">
                  <c:v>83128</c:v>
                </c:pt>
                <c:pt idx="9">
                  <c:v>75667</c:v>
                </c:pt>
                <c:pt idx="10">
                  <c:v>79992</c:v>
                </c:pt>
                <c:pt idx="11">
                  <c:v>81537</c:v>
                </c:pt>
              </c:numCache>
            </c:numRef>
          </c:val>
        </c:ser>
        <c:dLbls/>
        <c:axId val="89371008"/>
        <c:axId val="89372928"/>
      </c:barChart>
      <c:lineChart>
        <c:grouping val="standard"/>
        <c:ser>
          <c:idx val="4"/>
          <c:order val="3"/>
          <c:tx>
            <c:strRef>
              <c:f>ELECOMs!$A$37</c:f>
              <c:strCache>
                <c:ptCount val="1"/>
                <c:pt idx="0">
                  <c:v>2010-11 (11,887,400kWh)</c:v>
                </c:pt>
              </c:strCache>
            </c:strRef>
          </c:tx>
          <c:val>
            <c:numRef>
              <c:f>ELECOMs!$B$38:$M$38</c:f>
              <c:numCache>
                <c:formatCode>#,##0_);\(#,##0\)</c:formatCode>
                <c:ptCount val="12"/>
                <c:pt idx="0">
                  <c:v>812000</c:v>
                </c:pt>
                <c:pt idx="1">
                  <c:v>1013600</c:v>
                </c:pt>
                <c:pt idx="2">
                  <c:v>978600</c:v>
                </c:pt>
                <c:pt idx="3">
                  <c:v>975100</c:v>
                </c:pt>
                <c:pt idx="4">
                  <c:v>963200</c:v>
                </c:pt>
                <c:pt idx="5">
                  <c:v>918400</c:v>
                </c:pt>
                <c:pt idx="6">
                  <c:v>1080100</c:v>
                </c:pt>
                <c:pt idx="7">
                  <c:v>929600</c:v>
                </c:pt>
                <c:pt idx="8">
                  <c:v>1026200</c:v>
                </c:pt>
                <c:pt idx="9">
                  <c:v>931000</c:v>
                </c:pt>
                <c:pt idx="10">
                  <c:v>1026200</c:v>
                </c:pt>
                <c:pt idx="11">
                  <c:v>800100</c:v>
                </c:pt>
              </c:numCache>
            </c:numRef>
          </c:val>
        </c:ser>
        <c:ser>
          <c:idx val="0"/>
          <c:order val="4"/>
          <c:tx>
            <c:strRef>
              <c:f>ELECOMs!$A$38</c:f>
              <c:strCache>
                <c:ptCount val="1"/>
                <c:pt idx="0">
                  <c:v>2011-12 (11,454,100kWh)</c:v>
                </c:pt>
              </c:strCache>
            </c:strRef>
          </c:tx>
          <c:val>
            <c:numRef>
              <c:f>ELECOMs!$B$35:$M$35</c:f>
              <c:numCache>
                <c:formatCode>#,##0_);\(#,##0\)</c:formatCode>
                <c:ptCount val="12"/>
                <c:pt idx="0">
                  <c:v>737100</c:v>
                </c:pt>
                <c:pt idx="1">
                  <c:v>1125600</c:v>
                </c:pt>
                <c:pt idx="2">
                  <c:v>1106700</c:v>
                </c:pt>
                <c:pt idx="3">
                  <c:v>1283100</c:v>
                </c:pt>
                <c:pt idx="4">
                  <c:v>942900</c:v>
                </c:pt>
                <c:pt idx="5">
                  <c:v>1033200</c:v>
                </c:pt>
                <c:pt idx="6">
                  <c:v>1106700</c:v>
                </c:pt>
                <c:pt idx="7">
                  <c:v>1001700</c:v>
                </c:pt>
                <c:pt idx="8">
                  <c:v>1155000</c:v>
                </c:pt>
                <c:pt idx="9">
                  <c:v>926200</c:v>
                </c:pt>
                <c:pt idx="10">
                  <c:v>1008000</c:v>
                </c:pt>
                <c:pt idx="11">
                  <c:v>911400</c:v>
                </c:pt>
              </c:numCache>
            </c:numRef>
          </c:val>
        </c:ser>
        <c:ser>
          <c:idx val="2"/>
          <c:order val="5"/>
          <c:tx>
            <c:strRef>
              <c:f>ELECOMs!$A$39</c:f>
              <c:strCache>
                <c:ptCount val="1"/>
                <c:pt idx="0">
                  <c:v>2012-13 (11,916,100kWh)</c:v>
                </c:pt>
              </c:strCache>
            </c:strRef>
          </c:tx>
          <c:val>
            <c:numRef>
              <c:f>ELECOMs!$B$39:$M$39</c:f>
              <c:numCache>
                <c:formatCode>#,##0_);\(#,##0\)</c:formatCode>
                <c:ptCount val="12"/>
                <c:pt idx="0">
                  <c:v>912800</c:v>
                </c:pt>
                <c:pt idx="1">
                  <c:v>1193500</c:v>
                </c:pt>
                <c:pt idx="2">
                  <c:v>866600</c:v>
                </c:pt>
                <c:pt idx="3">
                  <c:v>1045800</c:v>
                </c:pt>
                <c:pt idx="4">
                  <c:v>947800</c:v>
                </c:pt>
                <c:pt idx="5">
                  <c:v>1035300</c:v>
                </c:pt>
                <c:pt idx="6">
                  <c:v>1059100</c:v>
                </c:pt>
                <c:pt idx="7">
                  <c:v>953400</c:v>
                </c:pt>
                <c:pt idx="8">
                  <c:v>1057700</c:v>
                </c:pt>
                <c:pt idx="9">
                  <c:v>971600</c:v>
                </c:pt>
                <c:pt idx="10">
                  <c:v>1005200</c:v>
                </c:pt>
                <c:pt idx="11">
                  <c:v>867300</c:v>
                </c:pt>
              </c:numCache>
            </c:numRef>
          </c:val>
        </c:ser>
        <c:dLbls/>
        <c:marker val="1"/>
        <c:axId val="89379200"/>
        <c:axId val="89380736"/>
      </c:lineChart>
      <c:catAx>
        <c:axId val="8937100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Month</a:t>
                </a:r>
              </a:p>
            </c:rich>
          </c:tx>
          <c:layout>
            <c:manualLayout>
              <c:xMode val="edge"/>
              <c:yMode val="edge"/>
              <c:x val="0.47380156075808288"/>
              <c:y val="0.9410801963993457"/>
            </c:manualLayout>
          </c:layout>
        </c:title>
        <c:numFmt formatCode="General" sourceLinked="1"/>
        <c:majorTickMark val="cross"/>
        <c:tickLblPos val="nextTo"/>
        <c:txPr>
          <a:bodyPr rot="0" vert="horz"/>
          <a:lstStyle/>
          <a:p>
            <a:pPr>
              <a:defRPr/>
            </a:pPr>
            <a:endParaRPr lang="en-US"/>
          </a:p>
        </c:txPr>
        <c:crossAx val="89372928"/>
        <c:crosses val="autoZero"/>
        <c:lblAlgn val="ctr"/>
        <c:lblOffset val="100"/>
        <c:tickLblSkip val="1"/>
        <c:tickMarkSkip val="1"/>
      </c:catAx>
      <c:valAx>
        <c:axId val="89372928"/>
        <c:scaling>
          <c:orientation val="minMax"/>
        </c:scaling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Cost</a:t>
                </a:r>
              </a:p>
            </c:rich>
          </c:tx>
          <c:layout>
            <c:manualLayout>
              <c:xMode val="edge"/>
              <c:yMode val="edge"/>
              <c:x val="1.114827201783752E-2"/>
              <c:y val="0.58101472995088976"/>
            </c:manualLayout>
          </c:layout>
        </c:title>
        <c:numFmt formatCode="&quot;$&quot;#,##0" sourceLinked="0"/>
        <c:majorTickMark val="cross"/>
        <c:tickLblPos val="nextTo"/>
        <c:txPr>
          <a:bodyPr rot="0" vert="horz"/>
          <a:lstStyle/>
          <a:p>
            <a:pPr>
              <a:defRPr/>
            </a:pPr>
            <a:endParaRPr lang="en-US"/>
          </a:p>
        </c:txPr>
        <c:crossAx val="89371008"/>
        <c:crosses val="autoZero"/>
        <c:crossBetween val="between"/>
      </c:valAx>
      <c:catAx>
        <c:axId val="89379200"/>
        <c:scaling>
          <c:orientation val="minMax"/>
        </c:scaling>
        <c:delete val="1"/>
        <c:axPos val="b"/>
        <c:tickLblPos val="none"/>
        <c:crossAx val="89380736"/>
        <c:crosses val="autoZero"/>
        <c:lblAlgn val="ctr"/>
        <c:lblOffset val="100"/>
      </c:catAx>
      <c:valAx>
        <c:axId val="89380736"/>
        <c:scaling>
          <c:orientation val="minMax"/>
        </c:scaling>
        <c:axPos val="r"/>
        <c:title>
          <c:tx>
            <c:rich>
              <a:bodyPr rot="5400000" vert="horz"/>
              <a:lstStyle/>
              <a:p>
                <a:pPr>
                  <a:defRPr/>
                </a:pPr>
                <a:r>
                  <a:rPr lang="en-US"/>
                  <a:t>Kwh Consumption </a:t>
                </a:r>
              </a:p>
            </c:rich>
          </c:tx>
          <c:layout>
            <c:manualLayout>
              <c:xMode val="edge"/>
              <c:yMode val="edge"/>
              <c:x val="0.94983277591973247"/>
              <c:y val="0.50900163666122145"/>
            </c:manualLayout>
          </c:layout>
        </c:title>
        <c:numFmt formatCode="#,##0" sourceLinked="0"/>
        <c:majorTickMark val="cross"/>
        <c:tickLblPos val="nextTo"/>
        <c:txPr>
          <a:bodyPr rot="0" vert="horz"/>
          <a:lstStyle/>
          <a:p>
            <a:pPr>
              <a:defRPr/>
            </a:pPr>
            <a:endParaRPr lang="en-US"/>
          </a:p>
        </c:txPr>
        <c:crossAx val="89379200"/>
        <c:crosses val="max"/>
        <c:crossBetween val="between"/>
      </c:valAx>
    </c:plotArea>
    <c:legend>
      <c:legendPos val="l"/>
      <c:layout>
        <c:manualLayout>
          <c:xMode val="edge"/>
          <c:yMode val="edge"/>
          <c:x val="0.45187662578967297"/>
          <c:y val="0.15248493283675194"/>
          <c:w val="0.20222228074333612"/>
          <c:h val="0.20839602905610621"/>
        </c:manualLayout>
      </c:layout>
      <c:overlay val="1"/>
    </c:legend>
    <c:dispBlanksAs val="gap"/>
  </c:chart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9.6850031382313545E-2"/>
          <c:y val="0.18609796154002931"/>
          <c:w val="0.75281941029020083"/>
          <c:h val="0.66584198273306305"/>
        </c:manualLayout>
      </c:layout>
      <c:barChart>
        <c:barDir val="col"/>
        <c:grouping val="clustered"/>
        <c:ser>
          <c:idx val="5"/>
          <c:order val="0"/>
          <c:tx>
            <c:strRef>
              <c:f>BTUCOMS!$A$67</c:f>
              <c:strCache>
                <c:ptCount val="1"/>
                <c:pt idx="0">
                  <c:v>2010-11   (81 BIL Btus)</c:v>
                </c:pt>
              </c:strCache>
            </c:strRef>
          </c:tx>
          <c:cat>
            <c:strLit>
              <c:ptCount val="1"/>
              <c:pt idx="0">
                <c:v>BIL Btus</c:v>
              </c:pt>
            </c:strLit>
          </c:cat>
          <c:val>
            <c:numRef>
              <c:f>BTUCOMS!$B$67:$M$67</c:f>
              <c:numCache>
                <c:formatCode>#,##0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4343000</c:v>
                </c:pt>
                <c:pt idx="5">
                  <c:v>10898184</c:v>
                </c:pt>
                <c:pt idx="6">
                  <c:v>16562800</c:v>
                </c:pt>
                <c:pt idx="7">
                  <c:v>15380540</c:v>
                </c:pt>
                <c:pt idx="8">
                  <c:v>12788000</c:v>
                </c:pt>
                <c:pt idx="9">
                  <c:v>12000000</c:v>
                </c:pt>
                <c:pt idx="10">
                  <c:v>6904000</c:v>
                </c:pt>
                <c:pt idx="11">
                  <c:v>1932000</c:v>
                </c:pt>
              </c:numCache>
            </c:numRef>
          </c:val>
        </c:ser>
        <c:ser>
          <c:idx val="3"/>
          <c:order val="1"/>
          <c:tx>
            <c:strRef>
              <c:f>BTUCOMS!$A$68</c:f>
              <c:strCache>
                <c:ptCount val="1"/>
                <c:pt idx="0">
                  <c:v>2011-12   ( 65 BIL Btus)</c:v>
                </c:pt>
              </c:strCache>
            </c:strRef>
          </c:tx>
          <c:cat>
            <c:strLit>
              <c:ptCount val="1"/>
              <c:pt idx="0">
                <c:v>BIL Btus</c:v>
              </c:pt>
            </c:strLit>
          </c:cat>
          <c:val>
            <c:numRef>
              <c:f>BTUCOMS!$B$65:$M$65</c:f>
              <c:numCache>
                <c:formatCode>#,##0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500000</c:v>
                </c:pt>
                <c:pt idx="4">
                  <c:v>6302000</c:v>
                </c:pt>
                <c:pt idx="5">
                  <c:v>11238000</c:v>
                </c:pt>
                <c:pt idx="6">
                  <c:v>14653650</c:v>
                </c:pt>
                <c:pt idx="7">
                  <c:v>17987700</c:v>
                </c:pt>
                <c:pt idx="8">
                  <c:v>14500150</c:v>
                </c:pt>
                <c:pt idx="9">
                  <c:v>10639000</c:v>
                </c:pt>
                <c:pt idx="10">
                  <c:v>6977000</c:v>
                </c:pt>
                <c:pt idx="11">
                  <c:v>2248000</c:v>
                </c:pt>
              </c:numCache>
            </c:numRef>
          </c:val>
        </c:ser>
        <c:ser>
          <c:idx val="4"/>
          <c:order val="2"/>
          <c:tx>
            <c:strRef>
              <c:f>BTUCOMS!$A$69</c:f>
              <c:strCache>
                <c:ptCount val="1"/>
                <c:pt idx="0">
                  <c:v>2012-13   ( 82 BIL Btus)</c:v>
                </c:pt>
              </c:strCache>
            </c:strRef>
          </c:tx>
          <c:cat>
            <c:strLit>
              <c:ptCount val="1"/>
              <c:pt idx="0">
                <c:v>BIL Btus</c:v>
              </c:pt>
            </c:strLit>
          </c:cat>
          <c:val>
            <c:numRef>
              <c:f>BTUCOMS!$B$69:$M$69</c:f>
              <c:numCache>
                <c:formatCode>#,##0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622000</c:v>
                </c:pt>
                <c:pt idx="4">
                  <c:v>6898000</c:v>
                </c:pt>
                <c:pt idx="5">
                  <c:v>9891000</c:v>
                </c:pt>
                <c:pt idx="6">
                  <c:v>13579000</c:v>
                </c:pt>
                <c:pt idx="7">
                  <c:v>14777000</c:v>
                </c:pt>
                <c:pt idx="8">
                  <c:v>11905700</c:v>
                </c:pt>
                <c:pt idx="9">
                  <c:v>13268100</c:v>
                </c:pt>
                <c:pt idx="10">
                  <c:v>8624000</c:v>
                </c:pt>
                <c:pt idx="11">
                  <c:v>2745000</c:v>
                </c:pt>
              </c:numCache>
            </c:numRef>
          </c:val>
        </c:ser>
        <c:dLbls/>
        <c:axId val="89266432"/>
        <c:axId val="89264896"/>
      </c:barChart>
      <c:lineChart>
        <c:grouping val="standard"/>
        <c:ser>
          <c:idx val="2"/>
          <c:order val="3"/>
          <c:tx>
            <c:strRef>
              <c:f>BTUCOMS!$A$79</c:f>
              <c:strCache>
                <c:ptCount val="1"/>
                <c:pt idx="0">
                  <c:v>2010-11  ($494,775)</c:v>
                </c:pt>
              </c:strCache>
            </c:strRef>
          </c:tx>
          <c:spPr>
            <a:ln w="25400">
              <a:solidFill>
                <a:srgbClr val="999933"/>
              </a:solidFill>
              <a:prstDash val="solid"/>
            </a:ln>
          </c:spPr>
          <c:cat>
            <c:strRef>
              <c:f>BTUCOMS!$B$53:$M$53</c:f>
              <c:strCache>
                <c:ptCount val="12"/>
                <c:pt idx="0">
                  <c:v>JUN</c:v>
                </c:pt>
                <c:pt idx="1">
                  <c:v>JUL</c:v>
                </c:pt>
                <c:pt idx="2">
                  <c:v>AUG</c:v>
                </c:pt>
                <c:pt idx="3">
                  <c:v>SEP</c:v>
                </c:pt>
                <c:pt idx="4">
                  <c:v>OCT</c:v>
                </c:pt>
                <c:pt idx="5">
                  <c:v>NOV</c:v>
                </c:pt>
                <c:pt idx="6">
                  <c:v>DEC</c:v>
                </c:pt>
                <c:pt idx="7">
                  <c:v>JAN</c:v>
                </c:pt>
                <c:pt idx="8">
                  <c:v>FEB</c:v>
                </c:pt>
                <c:pt idx="9">
                  <c:v>MAR</c:v>
                </c:pt>
                <c:pt idx="10">
                  <c:v>APR</c:v>
                </c:pt>
                <c:pt idx="11">
                  <c:v>MAY</c:v>
                </c:pt>
              </c:strCache>
            </c:strRef>
          </c:cat>
          <c:val>
            <c:numRef>
              <c:f>BTUCOMS!$B$77:$M$77</c:f>
              <c:numCache>
                <c:formatCode>"$"#,##0.00_);[Red]\("$"#,##0.00\)</c:formatCode>
                <c:ptCount val="12"/>
                <c:pt idx="0">
                  <c:v>311.17</c:v>
                </c:pt>
                <c:pt idx="1">
                  <c:v>311.17</c:v>
                </c:pt>
                <c:pt idx="2">
                  <c:v>311.17</c:v>
                </c:pt>
                <c:pt idx="3">
                  <c:v>4061.93</c:v>
                </c:pt>
                <c:pt idx="4">
                  <c:v>40229.89</c:v>
                </c:pt>
                <c:pt idx="5">
                  <c:v>82558.789999999994</c:v>
                </c:pt>
                <c:pt idx="6">
                  <c:v>98179.09</c:v>
                </c:pt>
                <c:pt idx="7">
                  <c:v>103166.7</c:v>
                </c:pt>
                <c:pt idx="8">
                  <c:v>72481.179999999993</c:v>
                </c:pt>
                <c:pt idx="9">
                  <c:v>62952.84</c:v>
                </c:pt>
                <c:pt idx="10">
                  <c:v>40032.85</c:v>
                </c:pt>
                <c:pt idx="11">
                  <c:v>10177.040000000001</c:v>
                </c:pt>
              </c:numCache>
            </c:numRef>
          </c:val>
        </c:ser>
        <c:ser>
          <c:idx val="1"/>
          <c:order val="4"/>
          <c:tx>
            <c:strRef>
              <c:f>BTUCOMS!$A$80</c:f>
              <c:strCache>
                <c:ptCount val="1"/>
                <c:pt idx="0">
                  <c:v>2011-12  ($316,037)</c:v>
                </c:pt>
              </c:strCache>
            </c:strRef>
          </c:tx>
          <c:cat>
            <c:strRef>
              <c:f>BTUCOMS!$B$53:$M$53</c:f>
              <c:strCache>
                <c:ptCount val="12"/>
                <c:pt idx="0">
                  <c:v>JUN</c:v>
                </c:pt>
                <c:pt idx="1">
                  <c:v>JUL</c:v>
                </c:pt>
                <c:pt idx="2">
                  <c:v>AUG</c:v>
                </c:pt>
                <c:pt idx="3">
                  <c:v>SEP</c:v>
                </c:pt>
                <c:pt idx="4">
                  <c:v>OCT</c:v>
                </c:pt>
                <c:pt idx="5">
                  <c:v>NOV</c:v>
                </c:pt>
                <c:pt idx="6">
                  <c:v>DEC</c:v>
                </c:pt>
                <c:pt idx="7">
                  <c:v>JAN</c:v>
                </c:pt>
                <c:pt idx="8">
                  <c:v>FEB</c:v>
                </c:pt>
                <c:pt idx="9">
                  <c:v>MAR</c:v>
                </c:pt>
                <c:pt idx="10">
                  <c:v>APR</c:v>
                </c:pt>
                <c:pt idx="11">
                  <c:v>MAY</c:v>
                </c:pt>
              </c:strCache>
            </c:strRef>
          </c:cat>
          <c:val>
            <c:numRef>
              <c:f>BTUCOMS!$B$80:$M$80</c:f>
              <c:numCache>
                <c:formatCode>"$"#,##0.00_);[Red]\("$"#,##0.00\)</c:formatCode>
                <c:ptCount val="12"/>
                <c:pt idx="0">
                  <c:v>311.17</c:v>
                </c:pt>
                <c:pt idx="1">
                  <c:v>311.17</c:v>
                </c:pt>
                <c:pt idx="2">
                  <c:v>311.17</c:v>
                </c:pt>
                <c:pt idx="3">
                  <c:v>921</c:v>
                </c:pt>
                <c:pt idx="4">
                  <c:v>24175</c:v>
                </c:pt>
                <c:pt idx="5" formatCode="&quot;$&quot;#,##0.00_);\(&quot;$&quot;#,##0.00\)">
                  <c:v>52924</c:v>
                </c:pt>
                <c:pt idx="6" formatCode="&quot;$&quot;#,##0.00_);\(&quot;$&quot;#,##0.00\)">
                  <c:v>66790</c:v>
                </c:pt>
                <c:pt idx="7">
                  <c:v>60419</c:v>
                </c:pt>
                <c:pt idx="8">
                  <c:v>56345</c:v>
                </c:pt>
                <c:pt idx="9">
                  <c:v>28973</c:v>
                </c:pt>
                <c:pt idx="10">
                  <c:v>20384</c:v>
                </c:pt>
                <c:pt idx="11">
                  <c:v>4172</c:v>
                </c:pt>
              </c:numCache>
            </c:numRef>
          </c:val>
        </c:ser>
        <c:ser>
          <c:idx val="0"/>
          <c:order val="5"/>
          <c:tx>
            <c:strRef>
              <c:f>BTUCOMS!$A$81</c:f>
              <c:strCache>
                <c:ptCount val="1"/>
                <c:pt idx="0">
                  <c:v>2012-13  ($393,810)</c:v>
                </c:pt>
              </c:strCache>
            </c:strRef>
          </c:tx>
          <c:cat>
            <c:strRef>
              <c:f>BTUCOMS!$B$53:$M$53</c:f>
              <c:strCache>
                <c:ptCount val="12"/>
                <c:pt idx="0">
                  <c:v>JUN</c:v>
                </c:pt>
                <c:pt idx="1">
                  <c:v>JUL</c:v>
                </c:pt>
                <c:pt idx="2">
                  <c:v>AUG</c:v>
                </c:pt>
                <c:pt idx="3">
                  <c:v>SEP</c:v>
                </c:pt>
                <c:pt idx="4">
                  <c:v>OCT</c:v>
                </c:pt>
                <c:pt idx="5">
                  <c:v>NOV</c:v>
                </c:pt>
                <c:pt idx="6">
                  <c:v>DEC</c:v>
                </c:pt>
                <c:pt idx="7">
                  <c:v>JAN</c:v>
                </c:pt>
                <c:pt idx="8">
                  <c:v>FEB</c:v>
                </c:pt>
                <c:pt idx="9">
                  <c:v>MAR</c:v>
                </c:pt>
                <c:pt idx="10">
                  <c:v>APR</c:v>
                </c:pt>
                <c:pt idx="11">
                  <c:v>MAY</c:v>
                </c:pt>
              </c:strCache>
            </c:strRef>
          </c:cat>
          <c:val>
            <c:numRef>
              <c:f>BTUCOMS!$B$81:$M$81</c:f>
              <c:numCache>
                <c:formatCode>"$"#,##0.00_);[Red]\("$"#,##0.00\)</c:formatCode>
                <c:ptCount val="12"/>
                <c:pt idx="0">
                  <c:v>311.17</c:v>
                </c:pt>
                <c:pt idx="1">
                  <c:v>311.17</c:v>
                </c:pt>
                <c:pt idx="2">
                  <c:v>311.17</c:v>
                </c:pt>
                <c:pt idx="3">
                  <c:v>2573</c:v>
                </c:pt>
                <c:pt idx="4">
                  <c:v>28322</c:v>
                </c:pt>
                <c:pt idx="5">
                  <c:v>46005</c:v>
                </c:pt>
                <c:pt idx="6">
                  <c:v>63048</c:v>
                </c:pt>
                <c:pt idx="7">
                  <c:v>63343</c:v>
                </c:pt>
                <c:pt idx="8">
                  <c:v>60296</c:v>
                </c:pt>
                <c:pt idx="9">
                  <c:v>71437</c:v>
                </c:pt>
                <c:pt idx="10">
                  <c:v>43192</c:v>
                </c:pt>
                <c:pt idx="11">
                  <c:v>14660</c:v>
                </c:pt>
              </c:numCache>
            </c:numRef>
          </c:val>
        </c:ser>
        <c:dLbls/>
        <c:marker val="1"/>
        <c:axId val="92063232"/>
        <c:axId val="92064768"/>
      </c:lineChart>
      <c:catAx>
        <c:axId val="92063232"/>
        <c:scaling>
          <c:orientation val="minMax"/>
        </c:scaling>
        <c:axPos val="b"/>
        <c:numFmt formatCode="#,##0_);\(#,##0\)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2064768"/>
        <c:crosses val="autoZero"/>
        <c:lblAlgn val="ctr"/>
        <c:lblOffset val="100"/>
        <c:tickLblSkip val="1"/>
        <c:tickMarkSkip val="1"/>
      </c:catAx>
      <c:valAx>
        <c:axId val="92064768"/>
        <c:scaling>
          <c:orientation val="minMax"/>
          <c:max val="130000"/>
          <c:min val="0"/>
        </c:scaling>
        <c:axPos val="l"/>
        <c:numFmt formatCode="&quot;$&quot;#,##0" sourceLinked="0"/>
        <c:majorTickMark val="cross"/>
        <c:tickLblPos val="nextTo"/>
        <c:txPr>
          <a:bodyPr rot="0" vert="horz"/>
          <a:lstStyle/>
          <a:p>
            <a:pPr>
              <a:defRPr/>
            </a:pPr>
            <a:endParaRPr lang="en-US"/>
          </a:p>
        </c:txPr>
        <c:crossAx val="92063232"/>
        <c:crosses val="autoZero"/>
        <c:crossBetween val="between"/>
      </c:valAx>
      <c:valAx>
        <c:axId val="89264896"/>
        <c:scaling>
          <c:orientation val="minMax"/>
        </c:scaling>
        <c:axPos val="r"/>
        <c:numFmt formatCode="#,##0" sourceLinked="1"/>
        <c:tickLblPos val="nextTo"/>
        <c:crossAx val="89266432"/>
        <c:crosses val="max"/>
        <c:crossBetween val="between"/>
      </c:valAx>
      <c:catAx>
        <c:axId val="89266432"/>
        <c:scaling>
          <c:orientation val="minMax"/>
        </c:scaling>
        <c:delete val="1"/>
        <c:axPos val="b"/>
        <c:tickLblPos val="none"/>
        <c:crossAx val="89264896"/>
        <c:crosses val="autoZero"/>
        <c:lblAlgn val="ctr"/>
        <c:lblOffset val="100"/>
      </c:catAx>
    </c:plotArea>
    <c:legend>
      <c:legendPos val="l"/>
      <c:layout>
        <c:manualLayout>
          <c:xMode val="edge"/>
          <c:yMode val="edge"/>
          <c:x val="0.12177867014973326"/>
          <c:y val="9.1562400496497429E-2"/>
          <c:w val="0.18400726395687109"/>
          <c:h val="0.20379309421301678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noFill/>
    <a:ln w="9525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/>
              <a:t>3 YEAR HEATING DEGREE COMPARISON</a:t>
            </a:r>
          </a:p>
        </c:rich>
      </c:tx>
      <c:layout>
        <c:manualLayout>
          <c:xMode val="edge"/>
          <c:yMode val="edge"/>
          <c:x val="0.31772575250836121"/>
          <c:y val="1.9639934533551555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9.1415830546265328E-2"/>
          <c:y val="0.12274959083469721"/>
          <c:w val="0.83500557413600895"/>
          <c:h val="0.81014729950901065"/>
        </c:manualLayout>
      </c:layout>
      <c:barChart>
        <c:barDir val="col"/>
        <c:grouping val="clustered"/>
        <c:ser>
          <c:idx val="1"/>
          <c:order val="0"/>
          <c:tx>
            <c:strRef>
              <c:f>'Heating Degree Days'!$AB$3</c:f>
              <c:strCache>
                <c:ptCount val="1"/>
                <c:pt idx="0">
                  <c:v>10/11(7870)</c:v>
                </c:pt>
              </c:strCache>
            </c:strRef>
          </c:tx>
          <c:spPr>
            <a:solidFill>
              <a:srgbClr val="802060"/>
            </a:solidFill>
            <a:ln w="12700">
              <a:solidFill>
                <a:srgbClr val="000000"/>
              </a:solidFill>
              <a:prstDash val="solid"/>
            </a:ln>
          </c:spPr>
          <c:cat>
            <c:strLit>
              <c:ptCount val="12"/>
              <c:pt idx="0">
                <c:v>JUN</c:v>
              </c:pt>
              <c:pt idx="1">
                <c:v>JUL</c:v>
              </c:pt>
              <c:pt idx="2">
                <c:v>AUG</c:v>
              </c:pt>
              <c:pt idx="3">
                <c:v>SEP</c:v>
              </c:pt>
              <c:pt idx="4">
                <c:v>OCT</c:v>
              </c:pt>
              <c:pt idx="5">
                <c:v>NOV</c:v>
              </c:pt>
              <c:pt idx="6">
                <c:v>DEC</c:v>
              </c:pt>
              <c:pt idx="7">
                <c:v>JAN</c:v>
              </c:pt>
              <c:pt idx="8">
                <c:v>FEB</c:v>
              </c:pt>
              <c:pt idx="9">
                <c:v>MAR</c:v>
              </c:pt>
              <c:pt idx="10">
                <c:v>APR</c:v>
              </c:pt>
              <c:pt idx="11">
                <c:v>MAY</c:v>
              </c:pt>
            </c:strLit>
          </c:cat>
          <c:val>
            <c:numRef>
              <c:f>'Heating Degree Days'!$AB$5:$AB$16</c:f>
              <c:numCache>
                <c:formatCode>#,##0_);\(#,##0\)</c:formatCode>
                <c:ptCount val="12"/>
                <c:pt idx="0">
                  <c:v>52</c:v>
                </c:pt>
                <c:pt idx="1">
                  <c:v>6</c:v>
                </c:pt>
                <c:pt idx="2">
                  <c:v>12</c:v>
                </c:pt>
                <c:pt idx="3">
                  <c:v>189</c:v>
                </c:pt>
                <c:pt idx="4">
                  <c:v>393</c:v>
                </c:pt>
                <c:pt idx="5">
                  <c:v>900</c:v>
                </c:pt>
                <c:pt idx="6">
                  <c:v>1491</c:v>
                </c:pt>
                <c:pt idx="7">
                  <c:v>1620</c:v>
                </c:pt>
                <c:pt idx="8">
                  <c:v>1282</c:v>
                </c:pt>
                <c:pt idx="9">
                  <c:v>1084</c:v>
                </c:pt>
                <c:pt idx="10">
                  <c:v>577</c:v>
                </c:pt>
                <c:pt idx="11">
                  <c:v>264</c:v>
                </c:pt>
              </c:numCache>
            </c:numRef>
          </c:val>
        </c:ser>
        <c:ser>
          <c:idx val="0"/>
          <c:order val="1"/>
          <c:tx>
            <c:strRef>
              <c:f>'Heating Degree Days'!$AC$3</c:f>
              <c:strCache>
                <c:ptCount val="1"/>
                <c:pt idx="0">
                  <c:v>11/12(6302)</c:v>
                </c:pt>
              </c:strCache>
            </c:strRef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cat>
            <c:strLit>
              <c:ptCount val="12"/>
              <c:pt idx="0">
                <c:v>JUN</c:v>
              </c:pt>
              <c:pt idx="1">
                <c:v>JUL</c:v>
              </c:pt>
              <c:pt idx="2">
                <c:v>AUG</c:v>
              </c:pt>
              <c:pt idx="3">
                <c:v>SEP</c:v>
              </c:pt>
              <c:pt idx="4">
                <c:v>OCT</c:v>
              </c:pt>
              <c:pt idx="5">
                <c:v>NOV</c:v>
              </c:pt>
              <c:pt idx="6">
                <c:v>DEC</c:v>
              </c:pt>
              <c:pt idx="7">
                <c:v>JAN</c:v>
              </c:pt>
              <c:pt idx="8">
                <c:v>FEB</c:v>
              </c:pt>
              <c:pt idx="9">
                <c:v>MAR</c:v>
              </c:pt>
              <c:pt idx="10">
                <c:v>APR</c:v>
              </c:pt>
              <c:pt idx="11">
                <c:v>MAY</c:v>
              </c:pt>
            </c:strLit>
          </c:cat>
          <c:val>
            <c:numRef>
              <c:f>'Heating Degree Days'!$AC$5:$AC$16</c:f>
              <c:numCache>
                <c:formatCode>#,##0_);\(#,##0\)</c:formatCode>
                <c:ptCount val="12"/>
                <c:pt idx="0">
                  <c:v>72</c:v>
                </c:pt>
                <c:pt idx="1">
                  <c:v>2</c:v>
                </c:pt>
                <c:pt idx="2">
                  <c:v>21</c:v>
                </c:pt>
                <c:pt idx="3">
                  <c:v>196</c:v>
                </c:pt>
                <c:pt idx="4">
                  <c:v>392</c:v>
                </c:pt>
                <c:pt idx="5">
                  <c:v>797</c:v>
                </c:pt>
                <c:pt idx="6">
                  <c:v>1151</c:v>
                </c:pt>
                <c:pt idx="7">
                  <c:v>1281</c:v>
                </c:pt>
                <c:pt idx="8">
                  <c:v>1274</c:v>
                </c:pt>
                <c:pt idx="9">
                  <c:v>530</c:v>
                </c:pt>
                <c:pt idx="10">
                  <c:v>444</c:v>
                </c:pt>
                <c:pt idx="11">
                  <c:v>142</c:v>
                </c:pt>
              </c:numCache>
            </c:numRef>
          </c:val>
        </c:ser>
        <c:ser>
          <c:idx val="2"/>
          <c:order val="2"/>
          <c:tx>
            <c:strRef>
              <c:f>'Heating Degree Days'!$AD$3</c:f>
              <c:strCache>
                <c:ptCount val="1"/>
                <c:pt idx="0">
                  <c:v>12/13(7562)</c:v>
                </c:pt>
              </c:strCache>
            </c:strRef>
          </c:tx>
          <c:cat>
            <c:strLit>
              <c:ptCount val="12"/>
              <c:pt idx="0">
                <c:v>JUN</c:v>
              </c:pt>
              <c:pt idx="1">
                <c:v>JUL</c:v>
              </c:pt>
              <c:pt idx="2">
                <c:v>AUG</c:v>
              </c:pt>
              <c:pt idx="3">
                <c:v>SEP</c:v>
              </c:pt>
              <c:pt idx="4">
                <c:v>OCT</c:v>
              </c:pt>
              <c:pt idx="5">
                <c:v>NOV</c:v>
              </c:pt>
              <c:pt idx="6">
                <c:v>DEC</c:v>
              </c:pt>
              <c:pt idx="7">
                <c:v>JAN</c:v>
              </c:pt>
              <c:pt idx="8">
                <c:v>FEB</c:v>
              </c:pt>
              <c:pt idx="9">
                <c:v>MAR</c:v>
              </c:pt>
              <c:pt idx="10">
                <c:v>APR</c:v>
              </c:pt>
              <c:pt idx="11">
                <c:v>MAY</c:v>
              </c:pt>
            </c:strLit>
          </c:cat>
          <c:val>
            <c:numRef>
              <c:f>'Heating Degree Days'!$AD$5:$AD$16</c:f>
              <c:numCache>
                <c:formatCode>#,##0_);\(#,##0\)</c:formatCode>
                <c:ptCount val="12"/>
                <c:pt idx="0">
                  <c:v>0</c:v>
                </c:pt>
                <c:pt idx="1">
                  <c:v>2</c:v>
                </c:pt>
                <c:pt idx="2">
                  <c:v>40</c:v>
                </c:pt>
                <c:pt idx="3">
                  <c:v>107</c:v>
                </c:pt>
                <c:pt idx="4">
                  <c:v>515</c:v>
                </c:pt>
                <c:pt idx="5">
                  <c:v>811</c:v>
                </c:pt>
                <c:pt idx="6">
                  <c:v>1222</c:v>
                </c:pt>
                <c:pt idx="7">
                  <c:v>1430</c:v>
                </c:pt>
                <c:pt idx="8">
                  <c:v>1258</c:v>
                </c:pt>
                <c:pt idx="9">
                  <c:v>1161</c:v>
                </c:pt>
                <c:pt idx="10">
                  <c:v>756</c:v>
                </c:pt>
                <c:pt idx="11">
                  <c:v>260</c:v>
                </c:pt>
              </c:numCache>
            </c:numRef>
          </c:val>
        </c:ser>
        <c:ser>
          <c:idx val="3"/>
          <c:order val="3"/>
          <c:tx>
            <c:strRef>
              <c:f>'Heating Degree Days'!$AE$3</c:f>
              <c:strCache>
                <c:ptCount val="1"/>
                <c:pt idx="0">
                  <c:v>3 Year Avg.</c:v>
                </c:pt>
              </c:strCache>
            </c:strRef>
          </c:tx>
          <c:spPr>
            <a:solidFill>
              <a:srgbClr val="A0E0E0"/>
            </a:solidFill>
            <a:ln w="12700">
              <a:solidFill>
                <a:srgbClr val="000000"/>
              </a:solidFill>
              <a:prstDash val="solid"/>
            </a:ln>
          </c:spPr>
          <c:cat>
            <c:strLit>
              <c:ptCount val="12"/>
              <c:pt idx="0">
                <c:v>JUN</c:v>
              </c:pt>
              <c:pt idx="1">
                <c:v>JUL</c:v>
              </c:pt>
              <c:pt idx="2">
                <c:v>AUG</c:v>
              </c:pt>
              <c:pt idx="3">
                <c:v>SEP</c:v>
              </c:pt>
              <c:pt idx="4">
                <c:v>OCT</c:v>
              </c:pt>
              <c:pt idx="5">
                <c:v>NOV</c:v>
              </c:pt>
              <c:pt idx="6">
                <c:v>DEC</c:v>
              </c:pt>
              <c:pt idx="7">
                <c:v>JAN</c:v>
              </c:pt>
              <c:pt idx="8">
                <c:v>FEB</c:v>
              </c:pt>
              <c:pt idx="9">
                <c:v>MAR</c:v>
              </c:pt>
              <c:pt idx="10">
                <c:v>APR</c:v>
              </c:pt>
              <c:pt idx="11">
                <c:v>MAY</c:v>
              </c:pt>
            </c:strLit>
          </c:cat>
          <c:val>
            <c:numRef>
              <c:f>'Heating Degree Days'!$AE$5:$AE$16</c:f>
              <c:numCache>
                <c:formatCode>#,##0_);[Red]\(#,##0\)</c:formatCode>
                <c:ptCount val="12"/>
                <c:pt idx="0">
                  <c:v>41.333333333333336</c:v>
                </c:pt>
                <c:pt idx="1">
                  <c:v>3.3333333333333335</c:v>
                </c:pt>
                <c:pt idx="2">
                  <c:v>24.333333333333332</c:v>
                </c:pt>
                <c:pt idx="3">
                  <c:v>164</c:v>
                </c:pt>
                <c:pt idx="4">
                  <c:v>433.33333333333331</c:v>
                </c:pt>
                <c:pt idx="5">
                  <c:v>836</c:v>
                </c:pt>
                <c:pt idx="6">
                  <c:v>1288</c:v>
                </c:pt>
                <c:pt idx="7">
                  <c:v>1443.6666666666667</c:v>
                </c:pt>
                <c:pt idx="8">
                  <c:v>1271.3333333333333</c:v>
                </c:pt>
                <c:pt idx="9">
                  <c:v>925</c:v>
                </c:pt>
                <c:pt idx="10">
                  <c:v>592.33333333333337</c:v>
                </c:pt>
                <c:pt idx="11">
                  <c:v>222</c:v>
                </c:pt>
              </c:numCache>
            </c:numRef>
          </c:val>
        </c:ser>
        <c:dLbls/>
        <c:axId val="92199168"/>
        <c:axId val="92209152"/>
      </c:barChart>
      <c:dateAx>
        <c:axId val="92199168"/>
        <c:scaling>
          <c:orientation val="minMax"/>
        </c:scaling>
        <c:axPos val="b"/>
        <c:numFmt formatCode="General" sourceLinked="0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2209152"/>
        <c:crosses val="autoZero"/>
        <c:lblOffset val="100"/>
        <c:baseTimeUnit val="days"/>
        <c:majorUnit val="1"/>
        <c:minorUnit val="1"/>
      </c:dateAx>
      <c:valAx>
        <c:axId val="92209152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 rot="-5400000" vert="horz"/>
              <a:lstStyle/>
              <a:p>
                <a:pPr algn="ctr">
                  <a:defRPr sz="10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Heating Degree Days</a:t>
                </a:r>
              </a:p>
            </c:rich>
          </c:tx>
          <c:layout>
            <c:manualLayout>
              <c:xMode val="edge"/>
              <c:yMode val="edge"/>
              <c:x val="1.2263099219621001E-2"/>
              <c:y val="0.41571194762684138"/>
            </c:manualLayout>
          </c:layout>
          <c:spPr>
            <a:noFill/>
            <a:ln w="25400">
              <a:noFill/>
            </a:ln>
          </c:spPr>
        </c:title>
        <c:numFmt formatCode="#,##0_);\(#,##0\)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2199168"/>
        <c:crosses val="autoZero"/>
        <c:crossBetween val="between"/>
      </c:valAx>
      <c:spPr>
        <a:solidFill>
          <a:srgbClr val="FFFFFF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2567818654775178"/>
          <c:y val="0.23895253682487724"/>
          <c:w val="0.10020359495197013"/>
          <c:h val="0.14120820822110824"/>
        </c:manualLayout>
      </c:layout>
      <c:overlay val="1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noFill/>
    <a:ln w="9525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4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/>
              <a:t>3 YEAR COOLING DEGREE DAY COMPARISON</a:t>
            </a:r>
          </a:p>
        </c:rich>
      </c:tx>
      <c:layout>
        <c:manualLayout>
          <c:xMode val="edge"/>
          <c:yMode val="edge"/>
          <c:x val="0.25752508361204596"/>
          <c:y val="1.9639934533551555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8.7328130806391679E-2"/>
          <c:y val="0.12765957446808263"/>
          <c:w val="0.84392419175027866"/>
          <c:h val="0.7643207855973817"/>
        </c:manualLayout>
      </c:layout>
      <c:barChart>
        <c:barDir val="col"/>
        <c:grouping val="clustered"/>
        <c:ser>
          <c:idx val="0"/>
          <c:order val="0"/>
          <c:tx>
            <c:strRef>
              <c:f>'Cooling Degree Days'!$X$3</c:f>
              <c:strCache>
                <c:ptCount val="1"/>
                <c:pt idx="0">
                  <c:v>10/11 (935)</c:v>
                </c:pt>
              </c:strCache>
            </c:strRef>
          </c:tx>
          <c:val>
            <c:numRef>
              <c:f>'Cooling Degree Days'!$X$4:$X$15</c:f>
              <c:numCache>
                <c:formatCode>#,##0_);[Red]\(#,##0\)</c:formatCode>
                <c:ptCount val="12"/>
                <c:pt idx="0">
                  <c:v>152</c:v>
                </c:pt>
                <c:pt idx="1">
                  <c:v>310</c:v>
                </c:pt>
                <c:pt idx="2">
                  <c:v>338</c:v>
                </c:pt>
                <c:pt idx="3">
                  <c:v>41</c:v>
                </c:pt>
                <c:pt idx="4">
                  <c:v>38</c:v>
                </c:pt>
                <c:pt idx="5">
                  <c:v>1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5</c:v>
                </c:pt>
                <c:pt idx="11">
                  <c:v>50</c:v>
                </c:pt>
              </c:numCache>
            </c:numRef>
          </c:val>
        </c:ser>
        <c:ser>
          <c:idx val="1"/>
          <c:order val="1"/>
          <c:tx>
            <c:strRef>
              <c:f>'Cooling Degree Days'!$Y$3</c:f>
              <c:strCache>
                <c:ptCount val="1"/>
                <c:pt idx="0">
                  <c:v>11/12 (1177)</c:v>
                </c:pt>
              </c:strCache>
            </c:strRef>
          </c:tx>
          <c:spPr>
            <a:pattFill prst="ltUpDiag">
              <a:fgClr>
                <a:srgbClr val="000000"/>
              </a:fgClr>
              <a:bgClr>
                <a:srgbClr val="FFFFFF"/>
              </a:bgClr>
            </a:pattFill>
            <a:ln w="12700">
              <a:solidFill>
                <a:srgbClr val="000000"/>
              </a:solidFill>
              <a:prstDash val="solid"/>
            </a:ln>
          </c:spPr>
          <c:cat>
            <c:strRef>
              <c:f>'Cooling Degree Days'!$B$4:$B$15</c:f>
              <c:strCache>
                <c:ptCount val="12"/>
                <c:pt idx="0">
                  <c:v>JUN</c:v>
                </c:pt>
                <c:pt idx="1">
                  <c:v>JUL</c:v>
                </c:pt>
                <c:pt idx="2">
                  <c:v>AUG</c:v>
                </c:pt>
                <c:pt idx="3">
                  <c:v>SEP</c:v>
                </c:pt>
                <c:pt idx="4">
                  <c:v>OCT</c:v>
                </c:pt>
                <c:pt idx="5">
                  <c:v>NOV</c:v>
                </c:pt>
                <c:pt idx="6">
                  <c:v>DEC</c:v>
                </c:pt>
                <c:pt idx="7">
                  <c:v>JAN</c:v>
                </c:pt>
                <c:pt idx="8">
                  <c:v>FEB</c:v>
                </c:pt>
                <c:pt idx="9">
                  <c:v>MAR</c:v>
                </c:pt>
                <c:pt idx="10">
                  <c:v>APR</c:v>
                </c:pt>
                <c:pt idx="11">
                  <c:v>MAY</c:v>
                </c:pt>
              </c:strCache>
            </c:strRef>
          </c:cat>
          <c:val>
            <c:numRef>
              <c:f>'Cooling Degree Days'!$V$4:$V$15</c:f>
              <c:numCache>
                <c:formatCode>#,##0_);[Red]\(#,##0\)</c:formatCode>
                <c:ptCount val="12"/>
                <c:pt idx="0">
                  <c:v>118</c:v>
                </c:pt>
                <c:pt idx="1">
                  <c:v>297</c:v>
                </c:pt>
                <c:pt idx="2">
                  <c:v>215</c:v>
                </c:pt>
                <c:pt idx="3">
                  <c:v>56</c:v>
                </c:pt>
                <c:pt idx="4">
                  <c:v>4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26</c:v>
                </c:pt>
              </c:numCache>
            </c:numRef>
          </c:val>
        </c:ser>
        <c:ser>
          <c:idx val="2"/>
          <c:order val="2"/>
          <c:tx>
            <c:strRef>
              <c:f>'Cooling Degree Days'!$Z$3</c:f>
              <c:strCache>
                <c:ptCount val="1"/>
                <c:pt idx="0">
                  <c:v>12/13 (1242)</c:v>
                </c:pt>
              </c:strCache>
            </c:strRef>
          </c:tx>
          <c:spPr>
            <a:blipFill dpi="0" rotWithShape="0">
              <a:blip xmlns:r="http://schemas.openxmlformats.org/officeDocument/2006/relationships" r:embed="rId1"/>
              <a:srcRect/>
              <a:tile tx="0" ty="0" sx="100000" sy="100000" flip="none" algn="tl"/>
            </a:blipFill>
            <a:ln w="12700">
              <a:solidFill>
                <a:srgbClr val="000000"/>
              </a:solidFill>
              <a:prstDash val="solid"/>
            </a:ln>
          </c:spPr>
          <c:cat>
            <c:strRef>
              <c:f>'Cooling Degree Days'!$B$4:$B$15</c:f>
              <c:strCache>
                <c:ptCount val="12"/>
                <c:pt idx="0">
                  <c:v>JUN</c:v>
                </c:pt>
                <c:pt idx="1">
                  <c:v>JUL</c:v>
                </c:pt>
                <c:pt idx="2">
                  <c:v>AUG</c:v>
                </c:pt>
                <c:pt idx="3">
                  <c:v>SEP</c:v>
                </c:pt>
                <c:pt idx="4">
                  <c:v>OCT</c:v>
                </c:pt>
                <c:pt idx="5">
                  <c:v>NOV</c:v>
                </c:pt>
                <c:pt idx="6">
                  <c:v>DEC</c:v>
                </c:pt>
                <c:pt idx="7">
                  <c:v>JAN</c:v>
                </c:pt>
                <c:pt idx="8">
                  <c:v>FEB</c:v>
                </c:pt>
                <c:pt idx="9">
                  <c:v>MAR</c:v>
                </c:pt>
                <c:pt idx="10">
                  <c:v>APR</c:v>
                </c:pt>
                <c:pt idx="11">
                  <c:v>MAY</c:v>
                </c:pt>
              </c:strCache>
            </c:strRef>
          </c:cat>
          <c:val>
            <c:numRef>
              <c:f>'Cooling Degree Days'!$Z$4:$Z$15</c:f>
              <c:numCache>
                <c:formatCode>#,##0_);[Red]\(#,##0\)</c:formatCode>
                <c:ptCount val="12"/>
                <c:pt idx="0">
                  <c:v>277</c:v>
                </c:pt>
                <c:pt idx="1">
                  <c:v>438</c:v>
                </c:pt>
                <c:pt idx="2">
                  <c:v>271</c:v>
                </c:pt>
                <c:pt idx="3">
                  <c:v>148</c:v>
                </c:pt>
                <c:pt idx="4">
                  <c:v>8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13</c:v>
                </c:pt>
                <c:pt idx="11">
                  <c:v>87</c:v>
                </c:pt>
              </c:numCache>
            </c:numRef>
          </c:val>
        </c:ser>
        <c:ser>
          <c:idx val="3"/>
          <c:order val="3"/>
          <c:tx>
            <c:strRef>
              <c:f>'Cooling Degree Days'!$AA$3</c:f>
              <c:strCache>
                <c:ptCount val="1"/>
                <c:pt idx="0">
                  <c:v>3 YR AVE</c:v>
                </c:pt>
              </c:strCache>
            </c:strRef>
          </c:tx>
          <c:spPr>
            <a:solidFill>
              <a:srgbClr val="A0E0E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'Cooling Degree Days'!$B$4:$B$15</c:f>
              <c:strCache>
                <c:ptCount val="12"/>
                <c:pt idx="0">
                  <c:v>JUN</c:v>
                </c:pt>
                <c:pt idx="1">
                  <c:v>JUL</c:v>
                </c:pt>
                <c:pt idx="2">
                  <c:v>AUG</c:v>
                </c:pt>
                <c:pt idx="3">
                  <c:v>SEP</c:v>
                </c:pt>
                <c:pt idx="4">
                  <c:v>OCT</c:v>
                </c:pt>
                <c:pt idx="5">
                  <c:v>NOV</c:v>
                </c:pt>
                <c:pt idx="6">
                  <c:v>DEC</c:v>
                </c:pt>
                <c:pt idx="7">
                  <c:v>JAN</c:v>
                </c:pt>
                <c:pt idx="8">
                  <c:v>FEB</c:v>
                </c:pt>
                <c:pt idx="9">
                  <c:v>MAR</c:v>
                </c:pt>
                <c:pt idx="10">
                  <c:v>APR</c:v>
                </c:pt>
                <c:pt idx="11">
                  <c:v>MAY</c:v>
                </c:pt>
              </c:strCache>
            </c:strRef>
          </c:cat>
          <c:val>
            <c:numRef>
              <c:f>'Cooling Degree Days'!$AA$4:$AA$15</c:f>
              <c:numCache>
                <c:formatCode>#,##0_);[Red]\(#,##0\)</c:formatCode>
                <c:ptCount val="12"/>
                <c:pt idx="0">
                  <c:v>202.33333333333334</c:v>
                </c:pt>
                <c:pt idx="1">
                  <c:v>381</c:v>
                </c:pt>
                <c:pt idx="2">
                  <c:v>291.66666666666669</c:v>
                </c:pt>
                <c:pt idx="3">
                  <c:v>96.666666666666671</c:v>
                </c:pt>
                <c:pt idx="4">
                  <c:v>38.333333333333336</c:v>
                </c:pt>
                <c:pt idx="5">
                  <c:v>0.33333333333333331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10.666666666666666</c:v>
                </c:pt>
                <c:pt idx="10">
                  <c:v>11</c:v>
                </c:pt>
                <c:pt idx="11">
                  <c:v>86</c:v>
                </c:pt>
              </c:numCache>
            </c:numRef>
          </c:val>
        </c:ser>
        <c:dLbls/>
        <c:axId val="92279168"/>
        <c:axId val="92281088"/>
      </c:barChart>
      <c:catAx>
        <c:axId val="9227916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MONTH</a:t>
                </a:r>
              </a:p>
            </c:rich>
          </c:tx>
          <c:layout>
            <c:manualLayout>
              <c:xMode val="edge"/>
              <c:yMode val="edge"/>
              <c:x val="0.46711259754738038"/>
              <c:y val="0.94271685761048873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2281088"/>
        <c:crosses val="autoZero"/>
        <c:auto val="1"/>
        <c:lblAlgn val="ctr"/>
        <c:lblOffset val="100"/>
        <c:tickLblSkip val="1"/>
        <c:tickMarkSkip val="1"/>
      </c:catAx>
      <c:valAx>
        <c:axId val="92281088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 rot="-5400000" vert="horz"/>
              <a:lstStyle/>
              <a:p>
                <a:pPr algn="ctr">
                  <a:defRPr sz="10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COOLING DEGREE DAYS</a:t>
                </a:r>
              </a:p>
            </c:rich>
          </c:tx>
          <c:layout>
            <c:manualLayout>
              <c:xMode val="edge"/>
              <c:yMode val="edge"/>
              <c:x val="1.4492753623188409E-2"/>
              <c:y val="0.37970540098199684"/>
            </c:manualLayout>
          </c:layout>
          <c:spPr>
            <a:noFill/>
            <a:ln w="25400">
              <a:noFill/>
            </a:ln>
          </c:spPr>
        </c:title>
        <c:numFmt formatCode="#,##0_);[Red]\(#,##0\)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2279168"/>
        <c:crosses val="autoZero"/>
        <c:crossBetween val="between"/>
      </c:valAx>
      <c:spPr>
        <a:solidFill>
          <a:srgbClr val="FFFFFF"/>
        </a:solidFill>
        <a:ln w="12700">
          <a:solidFill>
            <a:srgbClr val="808080"/>
          </a:solidFill>
          <a:prstDash val="solid"/>
        </a:ln>
      </c:spPr>
    </c:plotArea>
    <c:legend>
      <c:legendPos val="t"/>
      <c:layout>
        <c:manualLayout>
          <c:xMode val="edge"/>
          <c:yMode val="edge"/>
          <c:x val="8.0267558528428096E-2"/>
          <c:y val="7.0376432078559772E-2"/>
          <c:w val="0.39162176634276058"/>
          <c:h val="3.5302052055277047E-2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noFill/>
    <a:ln w="9525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4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/>
              <a:t>HEATING DEGREE DAY VS BTU CONSUMPTION PER SQ FOOT</a:t>
            </a:r>
          </a:p>
        </c:rich>
      </c:tx>
      <c:layout>
        <c:manualLayout>
          <c:xMode val="edge"/>
          <c:yMode val="edge"/>
          <c:x val="0.19286510590858166"/>
          <c:y val="1.9639934533551555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8.6956521739130543E-2"/>
          <c:y val="0.17184942716857621"/>
          <c:w val="0.80602006688963213"/>
          <c:h val="0.69721767594108019"/>
        </c:manualLayout>
      </c:layout>
      <c:barChart>
        <c:barDir val="col"/>
        <c:grouping val="clustered"/>
        <c:ser>
          <c:idx val="0"/>
          <c:order val="1"/>
          <c:tx>
            <c:v>BTU Consumed/Sq. Ft.</c:v>
          </c:tx>
          <c:spPr>
            <a:ln w="38100">
              <a:solidFill>
                <a:srgbClr val="000000"/>
              </a:solidFill>
              <a:prstDash val="solid"/>
            </a:ln>
          </c:spPr>
          <c:cat>
            <c:strRef>
              <c:f>'HDD vs Consump Stats'!$A$9:$A$30</c:f>
              <c:strCache>
                <c:ptCount val="22"/>
                <c:pt idx="0">
                  <c:v>90-91</c:v>
                </c:pt>
                <c:pt idx="1">
                  <c:v>91-92</c:v>
                </c:pt>
                <c:pt idx="2">
                  <c:v>92-93</c:v>
                </c:pt>
                <c:pt idx="3">
                  <c:v>93-94</c:v>
                </c:pt>
                <c:pt idx="4">
                  <c:v>94-95</c:v>
                </c:pt>
                <c:pt idx="5">
                  <c:v>95-96</c:v>
                </c:pt>
                <c:pt idx="6">
                  <c:v>96-97</c:v>
                </c:pt>
                <c:pt idx="7">
                  <c:v>97-98</c:v>
                </c:pt>
                <c:pt idx="8">
                  <c:v>98-99</c:v>
                </c:pt>
                <c:pt idx="9">
                  <c:v>99-00</c:v>
                </c:pt>
                <c:pt idx="10">
                  <c:v>00-01</c:v>
                </c:pt>
                <c:pt idx="11">
                  <c:v>01-02</c:v>
                </c:pt>
                <c:pt idx="12">
                  <c:v>02-03</c:v>
                </c:pt>
                <c:pt idx="13">
                  <c:v>03-04</c:v>
                </c:pt>
                <c:pt idx="14">
                  <c:v>04-05</c:v>
                </c:pt>
                <c:pt idx="15">
                  <c:v>05-06</c:v>
                </c:pt>
                <c:pt idx="16">
                  <c:v>06-07</c:v>
                </c:pt>
                <c:pt idx="17">
                  <c:v>07-08</c:v>
                </c:pt>
                <c:pt idx="18">
                  <c:v>08-09</c:v>
                </c:pt>
                <c:pt idx="19">
                  <c:v>09-10</c:v>
                </c:pt>
                <c:pt idx="20">
                  <c:v>10-11</c:v>
                </c:pt>
                <c:pt idx="21">
                  <c:v>11-12</c:v>
                </c:pt>
              </c:strCache>
            </c:strRef>
          </c:cat>
          <c:val>
            <c:numRef>
              <c:f>'HDD vs Consump Stats'!$L$9:$L$31</c:f>
              <c:numCache>
                <c:formatCode>#,##0_);\(#,##0\)</c:formatCode>
                <c:ptCount val="23"/>
                <c:pt idx="0">
                  <c:v>142269.83791335271</c:v>
                </c:pt>
                <c:pt idx="1">
                  <c:v>136287.90398628375</c:v>
                </c:pt>
                <c:pt idx="2">
                  <c:v>136040.47059310245</c:v>
                </c:pt>
                <c:pt idx="3">
                  <c:v>123967.66075046384</c:v>
                </c:pt>
                <c:pt idx="4">
                  <c:v>116295.683368196</c:v>
                </c:pt>
                <c:pt idx="5">
                  <c:v>132149</c:v>
                </c:pt>
                <c:pt idx="6">
                  <c:v>139404</c:v>
                </c:pt>
                <c:pt idx="7">
                  <c:v>114168.35838976354</c:v>
                </c:pt>
                <c:pt idx="8">
                  <c:v>124293.14367106277</c:v>
                </c:pt>
                <c:pt idx="9">
                  <c:v>112315.83931348521</c:v>
                </c:pt>
                <c:pt idx="10">
                  <c:v>116829.65009302289</c:v>
                </c:pt>
                <c:pt idx="11">
                  <c:v>108512.50794591641</c:v>
                </c:pt>
                <c:pt idx="12">
                  <c:v>114984.40386051558</c:v>
                </c:pt>
                <c:pt idx="13">
                  <c:v>112613.75832795186</c:v>
                </c:pt>
                <c:pt idx="14">
                  <c:v>125594.34710932593</c:v>
                </c:pt>
                <c:pt idx="15">
                  <c:v>101669.67983625403</c:v>
                </c:pt>
                <c:pt idx="16">
                  <c:v>95349.846426085467</c:v>
                </c:pt>
                <c:pt idx="17">
                  <c:v>104353.38875181777</c:v>
                </c:pt>
                <c:pt idx="18">
                  <c:v>105526.83276872538</c:v>
                </c:pt>
                <c:pt idx="19">
                  <c:v>97310.991356656465</c:v>
                </c:pt>
                <c:pt idx="20">
                  <c:v>100453.98352773891</c:v>
                </c:pt>
                <c:pt idx="21">
                  <c:v>85806.384470287943</c:v>
                </c:pt>
                <c:pt idx="22">
                  <c:v>101776.5354287696</c:v>
                </c:pt>
              </c:numCache>
            </c:numRef>
          </c:val>
        </c:ser>
        <c:dLbls/>
        <c:axId val="92449024"/>
        <c:axId val="92459008"/>
      </c:barChart>
      <c:lineChart>
        <c:grouping val="standard"/>
        <c:ser>
          <c:idx val="1"/>
          <c:order val="0"/>
          <c:tx>
            <c:v>Heating Degree Days</c:v>
          </c:tx>
          <c:spPr>
            <a:ln w="38100">
              <a:solidFill>
                <a:srgbClr val="000000"/>
              </a:solidFill>
              <a:prstDash val="sysDash"/>
            </a:ln>
          </c:spPr>
          <c:marker>
            <c:symbol val="circle"/>
            <c:size val="9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'HDD vs Consump Stats'!$A$9:$A$31</c:f>
              <c:strCache>
                <c:ptCount val="23"/>
                <c:pt idx="0">
                  <c:v>90-91</c:v>
                </c:pt>
                <c:pt idx="1">
                  <c:v>91-92</c:v>
                </c:pt>
                <c:pt idx="2">
                  <c:v>92-93</c:v>
                </c:pt>
                <c:pt idx="3">
                  <c:v>93-94</c:v>
                </c:pt>
                <c:pt idx="4">
                  <c:v>94-95</c:v>
                </c:pt>
                <c:pt idx="5">
                  <c:v>95-96</c:v>
                </c:pt>
                <c:pt idx="6">
                  <c:v>96-97</c:v>
                </c:pt>
                <c:pt idx="7">
                  <c:v>97-98</c:v>
                </c:pt>
                <c:pt idx="8">
                  <c:v>98-99</c:v>
                </c:pt>
                <c:pt idx="9">
                  <c:v>99-00</c:v>
                </c:pt>
                <c:pt idx="10">
                  <c:v>00-01</c:v>
                </c:pt>
                <c:pt idx="11">
                  <c:v>01-02</c:v>
                </c:pt>
                <c:pt idx="12">
                  <c:v>02-03</c:v>
                </c:pt>
                <c:pt idx="13">
                  <c:v>03-04</c:v>
                </c:pt>
                <c:pt idx="14">
                  <c:v>04-05</c:v>
                </c:pt>
                <c:pt idx="15">
                  <c:v>05-06</c:v>
                </c:pt>
                <c:pt idx="16">
                  <c:v>06-07</c:v>
                </c:pt>
                <c:pt idx="17">
                  <c:v>07-08</c:v>
                </c:pt>
                <c:pt idx="18">
                  <c:v>08-09</c:v>
                </c:pt>
                <c:pt idx="19">
                  <c:v>09-10</c:v>
                </c:pt>
                <c:pt idx="20">
                  <c:v>10-11</c:v>
                </c:pt>
                <c:pt idx="21">
                  <c:v>11-12</c:v>
                </c:pt>
                <c:pt idx="22">
                  <c:v>12-13</c:v>
                </c:pt>
              </c:strCache>
            </c:strRef>
          </c:cat>
          <c:val>
            <c:numRef>
              <c:f>'HDD vs Consump Stats'!$B$9:$B$31</c:f>
              <c:numCache>
                <c:formatCode>#,##0</c:formatCode>
                <c:ptCount val="23"/>
                <c:pt idx="0">
                  <c:v>7795</c:v>
                </c:pt>
                <c:pt idx="1">
                  <c:v>7915</c:v>
                </c:pt>
                <c:pt idx="2">
                  <c:v>7296</c:v>
                </c:pt>
                <c:pt idx="3">
                  <c:v>7098</c:v>
                </c:pt>
                <c:pt idx="4">
                  <c:v>6139</c:v>
                </c:pt>
                <c:pt idx="5">
                  <c:v>7921</c:v>
                </c:pt>
                <c:pt idx="6">
                  <c:v>7297</c:v>
                </c:pt>
                <c:pt idx="7">
                  <c:v>6589</c:v>
                </c:pt>
                <c:pt idx="8">
                  <c:v>6806</c:v>
                </c:pt>
                <c:pt idx="9">
                  <c:v>6698</c:v>
                </c:pt>
                <c:pt idx="10">
                  <c:v>7959</c:v>
                </c:pt>
                <c:pt idx="11">
                  <c:v>6681</c:v>
                </c:pt>
                <c:pt idx="12">
                  <c:v>7787</c:v>
                </c:pt>
                <c:pt idx="13">
                  <c:v>7433</c:v>
                </c:pt>
                <c:pt idx="14">
                  <c:v>7161</c:v>
                </c:pt>
                <c:pt idx="15">
                  <c:v>6545</c:v>
                </c:pt>
                <c:pt idx="16">
                  <c:v>7082</c:v>
                </c:pt>
                <c:pt idx="17">
                  <c:v>7914</c:v>
                </c:pt>
                <c:pt idx="18">
                  <c:v>7743</c:v>
                </c:pt>
                <c:pt idx="19" formatCode="General">
                  <c:v>7216</c:v>
                </c:pt>
                <c:pt idx="20" formatCode="General">
                  <c:v>7870</c:v>
                </c:pt>
                <c:pt idx="21" formatCode="General">
                  <c:v>6302</c:v>
                </c:pt>
                <c:pt idx="22" formatCode="General">
                  <c:v>7562</c:v>
                </c:pt>
              </c:numCache>
            </c:numRef>
          </c:val>
        </c:ser>
        <c:dLbls/>
        <c:marker val="1"/>
        <c:axId val="92436736"/>
        <c:axId val="92447104"/>
      </c:lineChart>
      <c:catAx>
        <c:axId val="9243673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YEAR</a:t>
                </a:r>
              </a:p>
            </c:rich>
          </c:tx>
          <c:layout/>
        </c:title>
        <c:numFmt formatCode="General" sourceLinked="0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2447104"/>
        <c:crosses val="autoZero"/>
        <c:lblAlgn val="ctr"/>
        <c:lblOffset val="100"/>
        <c:tickLblSkip val="1"/>
        <c:tickMarkSkip val="1"/>
      </c:catAx>
      <c:valAx>
        <c:axId val="92447104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HEATING DEGREE DAYS</a:t>
                </a:r>
              </a:p>
            </c:rich>
          </c:tx>
          <c:layout>
            <c:manualLayout>
              <c:xMode val="edge"/>
              <c:yMode val="edge"/>
              <c:x val="1.2263099219621001E-2"/>
              <c:y val="0.40098199672668222"/>
            </c:manualLayout>
          </c:layout>
          <c:spPr>
            <a:noFill/>
            <a:ln w="25400">
              <a:noFill/>
            </a:ln>
          </c:spPr>
        </c:title>
        <c:numFmt formatCode="#,##0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2436736"/>
        <c:crosses val="autoZero"/>
        <c:crossBetween val="between"/>
      </c:valAx>
      <c:catAx>
        <c:axId val="92449024"/>
        <c:scaling>
          <c:orientation val="minMax"/>
        </c:scaling>
        <c:delete val="1"/>
        <c:axPos val="b"/>
        <c:tickLblPos val="none"/>
        <c:crossAx val="92459008"/>
        <c:crosses val="autoZero"/>
        <c:lblAlgn val="ctr"/>
        <c:lblOffset val="100"/>
      </c:catAx>
      <c:valAx>
        <c:axId val="92459008"/>
        <c:scaling>
          <c:orientation val="minMax"/>
        </c:scaling>
        <c:axPos val="r"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BTU CONSUMPTION PER SQ. FOOT</a:t>
                </a:r>
              </a:p>
            </c:rich>
          </c:tx>
          <c:layout>
            <c:manualLayout>
              <c:xMode val="edge"/>
              <c:yMode val="edge"/>
              <c:x val="0.96209587513936379"/>
              <c:y val="0.35679214402618065"/>
            </c:manualLayout>
          </c:layout>
          <c:spPr>
            <a:noFill/>
            <a:ln w="25400">
              <a:noFill/>
            </a:ln>
          </c:spPr>
        </c:title>
        <c:numFmt formatCode="#,##0_);\(#,##0\)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2449024"/>
        <c:crosses val="max"/>
        <c:crossBetween val="between"/>
      </c:valAx>
      <c:spPr>
        <a:solidFill>
          <a:srgbClr val="FFFFFF"/>
        </a:solidFill>
        <a:ln w="12700">
          <a:solidFill>
            <a:srgbClr val="808080"/>
          </a:solidFill>
          <a:prstDash val="solid"/>
        </a:ln>
      </c:spPr>
    </c:plotArea>
    <c:legend>
      <c:legendPos val="t"/>
      <c:layout>
        <c:manualLayout>
          <c:xMode val="edge"/>
          <c:yMode val="edge"/>
          <c:x val="0.25195094760312153"/>
          <c:y val="9.6563011456628475E-2"/>
          <c:w val="0.49684132292828087"/>
          <c:h val="3.9279869067104026E-2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dispBlanksAs val="gap"/>
  </c:chart>
  <c:spPr>
    <a:noFill/>
    <a:ln w="9525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4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/>
              <a:t>HDD VS CONSUMPTION VS COST</a:t>
            </a:r>
          </a:p>
        </c:rich>
      </c:tx>
      <c:layout>
        <c:manualLayout>
          <c:xMode val="edge"/>
          <c:yMode val="edge"/>
          <c:x val="0.32792241878856876"/>
          <c:y val="2.77324632952692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9.7402700346130452E-2"/>
          <c:y val="0.22349120575296752"/>
          <c:w val="0.74458953153486462"/>
          <c:h val="0.6639483265799937"/>
        </c:manualLayout>
      </c:layout>
      <c:lineChart>
        <c:grouping val="standard"/>
        <c:ser>
          <c:idx val="1"/>
          <c:order val="0"/>
          <c:tx>
            <c:strRef>
              <c:f>'HDD vs Consump Stats'!$B$34</c:f>
              <c:strCache>
                <c:ptCount val="1"/>
                <c:pt idx="0">
                  <c:v>Heating Degree Days</c:v>
                </c:pt>
              </c:strCache>
            </c:strRef>
          </c:tx>
          <c:spPr>
            <a:ln w="12700">
              <a:solidFill>
                <a:srgbClr val="003300"/>
              </a:solidFill>
              <a:prstDash val="solid"/>
            </a:ln>
          </c:spPr>
          <c:cat>
            <c:strRef>
              <c:f>'HDD vs Consump Stats'!$A$35:$A$57</c:f>
              <c:strCache>
                <c:ptCount val="23"/>
                <c:pt idx="0">
                  <c:v>90-91</c:v>
                </c:pt>
                <c:pt idx="1">
                  <c:v>91-92</c:v>
                </c:pt>
                <c:pt idx="2">
                  <c:v>92-93</c:v>
                </c:pt>
                <c:pt idx="3">
                  <c:v>93-94</c:v>
                </c:pt>
                <c:pt idx="4">
                  <c:v>94-95</c:v>
                </c:pt>
                <c:pt idx="5">
                  <c:v>95-96</c:v>
                </c:pt>
                <c:pt idx="6">
                  <c:v>96-97</c:v>
                </c:pt>
                <c:pt idx="7">
                  <c:v>97-98</c:v>
                </c:pt>
                <c:pt idx="8">
                  <c:v>98-99</c:v>
                </c:pt>
                <c:pt idx="9">
                  <c:v>99-00</c:v>
                </c:pt>
                <c:pt idx="10">
                  <c:v>00-01</c:v>
                </c:pt>
                <c:pt idx="11">
                  <c:v>01-02</c:v>
                </c:pt>
                <c:pt idx="12">
                  <c:v>02-03</c:v>
                </c:pt>
                <c:pt idx="13">
                  <c:v>03-04</c:v>
                </c:pt>
                <c:pt idx="14">
                  <c:v>04-05</c:v>
                </c:pt>
                <c:pt idx="15">
                  <c:v>05-06</c:v>
                </c:pt>
                <c:pt idx="16">
                  <c:v>06-07</c:v>
                </c:pt>
                <c:pt idx="17">
                  <c:v>07-08</c:v>
                </c:pt>
                <c:pt idx="18">
                  <c:v>08-09</c:v>
                </c:pt>
                <c:pt idx="19">
                  <c:v>09-10</c:v>
                </c:pt>
                <c:pt idx="20">
                  <c:v>10-11</c:v>
                </c:pt>
                <c:pt idx="21">
                  <c:v>11-12</c:v>
                </c:pt>
                <c:pt idx="22">
                  <c:v>12-13</c:v>
                </c:pt>
              </c:strCache>
            </c:strRef>
          </c:cat>
          <c:val>
            <c:numRef>
              <c:f>'HDD vs Consump Stats'!$B$35:$B$57</c:f>
              <c:numCache>
                <c:formatCode>#,##0</c:formatCode>
                <c:ptCount val="23"/>
                <c:pt idx="0">
                  <c:v>7795</c:v>
                </c:pt>
                <c:pt idx="1">
                  <c:v>7915</c:v>
                </c:pt>
                <c:pt idx="2">
                  <c:v>7296</c:v>
                </c:pt>
                <c:pt idx="3">
                  <c:v>7098</c:v>
                </c:pt>
                <c:pt idx="4">
                  <c:v>6139</c:v>
                </c:pt>
                <c:pt idx="5">
                  <c:v>7921</c:v>
                </c:pt>
                <c:pt idx="6">
                  <c:v>7297</c:v>
                </c:pt>
                <c:pt idx="7">
                  <c:v>6589</c:v>
                </c:pt>
                <c:pt idx="8">
                  <c:v>6788</c:v>
                </c:pt>
                <c:pt idx="9">
                  <c:v>6669</c:v>
                </c:pt>
                <c:pt idx="10" formatCode="#,##0_);\(#,##0\)">
                  <c:v>7959</c:v>
                </c:pt>
                <c:pt idx="11">
                  <c:v>6681</c:v>
                </c:pt>
                <c:pt idx="12">
                  <c:v>7787</c:v>
                </c:pt>
                <c:pt idx="13">
                  <c:v>7433</c:v>
                </c:pt>
                <c:pt idx="14">
                  <c:v>7161</c:v>
                </c:pt>
                <c:pt idx="15">
                  <c:v>6545</c:v>
                </c:pt>
                <c:pt idx="16" formatCode="General">
                  <c:v>7082</c:v>
                </c:pt>
                <c:pt idx="17" formatCode="General">
                  <c:v>7914</c:v>
                </c:pt>
                <c:pt idx="18" formatCode="General">
                  <c:v>7743</c:v>
                </c:pt>
                <c:pt idx="19" formatCode="General">
                  <c:v>7216</c:v>
                </c:pt>
                <c:pt idx="20" formatCode="General">
                  <c:v>7870</c:v>
                </c:pt>
                <c:pt idx="21" formatCode="General">
                  <c:v>6302</c:v>
                </c:pt>
                <c:pt idx="22" formatCode="General">
                  <c:v>7562</c:v>
                </c:pt>
              </c:numCache>
            </c:numRef>
          </c:val>
        </c:ser>
        <c:ser>
          <c:idx val="0"/>
          <c:order val="1"/>
          <c:tx>
            <c:strRef>
              <c:f>'HDD vs Consump Stats'!$C$33:$C$34</c:f>
              <c:strCache>
                <c:ptCount val="1"/>
                <c:pt idx="0">
                  <c:v>Btus    x10,000,000</c:v>
                </c:pt>
              </c:strCache>
            </c:strRef>
          </c:tx>
          <c:spPr>
            <a:ln w="12700">
              <a:solidFill>
                <a:srgbClr val="003300"/>
              </a:solidFill>
              <a:prstDash val="solid"/>
            </a:ln>
          </c:spPr>
          <c:cat>
            <c:strRef>
              <c:f>'HDD vs Consump Stats'!$A$35:$A$57</c:f>
              <c:strCache>
                <c:ptCount val="23"/>
                <c:pt idx="0">
                  <c:v>90-91</c:v>
                </c:pt>
                <c:pt idx="1">
                  <c:v>91-92</c:v>
                </c:pt>
                <c:pt idx="2">
                  <c:v>92-93</c:v>
                </c:pt>
                <c:pt idx="3">
                  <c:v>93-94</c:v>
                </c:pt>
                <c:pt idx="4">
                  <c:v>94-95</c:v>
                </c:pt>
                <c:pt idx="5">
                  <c:v>95-96</c:v>
                </c:pt>
                <c:pt idx="6">
                  <c:v>96-97</c:v>
                </c:pt>
                <c:pt idx="7">
                  <c:v>97-98</c:v>
                </c:pt>
                <c:pt idx="8">
                  <c:v>98-99</c:v>
                </c:pt>
                <c:pt idx="9">
                  <c:v>99-00</c:v>
                </c:pt>
                <c:pt idx="10">
                  <c:v>00-01</c:v>
                </c:pt>
                <c:pt idx="11">
                  <c:v>01-02</c:v>
                </c:pt>
                <c:pt idx="12">
                  <c:v>02-03</c:v>
                </c:pt>
                <c:pt idx="13">
                  <c:v>03-04</c:v>
                </c:pt>
                <c:pt idx="14">
                  <c:v>04-05</c:v>
                </c:pt>
                <c:pt idx="15">
                  <c:v>05-06</c:v>
                </c:pt>
                <c:pt idx="16">
                  <c:v>06-07</c:v>
                </c:pt>
                <c:pt idx="17">
                  <c:v>07-08</c:v>
                </c:pt>
                <c:pt idx="18">
                  <c:v>08-09</c:v>
                </c:pt>
                <c:pt idx="19">
                  <c:v>09-10</c:v>
                </c:pt>
                <c:pt idx="20">
                  <c:v>10-11</c:v>
                </c:pt>
                <c:pt idx="21">
                  <c:v>11-12</c:v>
                </c:pt>
                <c:pt idx="22">
                  <c:v>12-13</c:v>
                </c:pt>
              </c:strCache>
            </c:strRef>
          </c:cat>
          <c:val>
            <c:numRef>
              <c:f>'HDD vs Consump Stats'!$C$35:$C$57</c:f>
              <c:numCache>
                <c:formatCode>#,##0_);\(#,##0\)</c:formatCode>
                <c:ptCount val="23"/>
                <c:pt idx="0">
                  <c:v>9873.9</c:v>
                </c:pt>
                <c:pt idx="1">
                  <c:v>9226.7999999999993</c:v>
                </c:pt>
                <c:pt idx="2">
                  <c:v>9597.7000000000007</c:v>
                </c:pt>
                <c:pt idx="3">
                  <c:v>8517.2999999999993</c:v>
                </c:pt>
                <c:pt idx="4">
                  <c:v>7744.4</c:v>
                </c:pt>
                <c:pt idx="5">
                  <c:v>9158.9</c:v>
                </c:pt>
                <c:pt idx="6">
                  <c:v>9999.1</c:v>
                </c:pt>
                <c:pt idx="7">
                  <c:v>8241.2000000000007</c:v>
                </c:pt>
                <c:pt idx="8">
                  <c:v>8667</c:v>
                </c:pt>
                <c:pt idx="9">
                  <c:v>7702.5</c:v>
                </c:pt>
                <c:pt idx="10">
                  <c:v>9470.1</c:v>
                </c:pt>
                <c:pt idx="11">
                  <c:v>8541.6</c:v>
                </c:pt>
                <c:pt idx="12">
                  <c:v>9133.4</c:v>
                </c:pt>
                <c:pt idx="13">
                  <c:v>8950.1</c:v>
                </c:pt>
                <c:pt idx="14">
                  <c:v>10757.921145199998</c:v>
                </c:pt>
                <c:pt idx="15">
                  <c:v>7828.2149999999992</c:v>
                </c:pt>
                <c:pt idx="16">
                  <c:v>7828.2149999999992</c:v>
                </c:pt>
                <c:pt idx="17">
                  <c:v>8927.5</c:v>
                </c:pt>
                <c:pt idx="18">
                  <c:v>8540.2999999999993</c:v>
                </c:pt>
                <c:pt idx="19">
                  <c:v>7775</c:v>
                </c:pt>
                <c:pt idx="20">
                  <c:v>8081</c:v>
                </c:pt>
                <c:pt idx="21">
                  <c:v>6459</c:v>
                </c:pt>
                <c:pt idx="22">
                  <c:v>8231</c:v>
                </c:pt>
              </c:numCache>
            </c:numRef>
          </c:val>
        </c:ser>
        <c:dLbls/>
        <c:marker val="1"/>
        <c:axId val="92476160"/>
        <c:axId val="92478080"/>
      </c:lineChart>
      <c:lineChart>
        <c:grouping val="standard"/>
        <c:ser>
          <c:idx val="2"/>
          <c:order val="2"/>
          <c:tx>
            <c:strRef>
              <c:f>'HDD vs Consump Stats'!$E$33:$E$34</c:f>
              <c:strCache>
                <c:ptCount val="1"/>
                <c:pt idx="0">
                  <c:v>Cost of Fuel x100</c:v>
                </c:pt>
              </c:strCache>
            </c:strRef>
          </c:tx>
          <c:spPr>
            <a:ln w="38100">
              <a:pattFill prst="pct75">
                <a:fgClr>
                  <a:srgbClr val="003300"/>
                </a:fgClr>
                <a:bgClr>
                  <a:srgbClr val="FFFFFF"/>
                </a:bgClr>
              </a:pattFill>
              <a:prstDash val="solid"/>
            </a:ln>
          </c:spPr>
          <c:marker>
            <c:symbol val="triangle"/>
            <c:size val="5"/>
            <c:spPr>
              <a:solidFill>
                <a:srgbClr val="003300"/>
              </a:solidFill>
              <a:ln>
                <a:solidFill>
                  <a:srgbClr val="003300"/>
                </a:solidFill>
                <a:prstDash val="solid"/>
              </a:ln>
            </c:spPr>
          </c:marker>
          <c:cat>
            <c:strRef>
              <c:f>'HDD vs Consump Stats'!$A$35:$A$57</c:f>
              <c:strCache>
                <c:ptCount val="23"/>
                <c:pt idx="0">
                  <c:v>90-91</c:v>
                </c:pt>
                <c:pt idx="1">
                  <c:v>91-92</c:v>
                </c:pt>
                <c:pt idx="2">
                  <c:v>92-93</c:v>
                </c:pt>
                <c:pt idx="3">
                  <c:v>93-94</c:v>
                </c:pt>
                <c:pt idx="4">
                  <c:v>94-95</c:v>
                </c:pt>
                <c:pt idx="5">
                  <c:v>95-96</c:v>
                </c:pt>
                <c:pt idx="6">
                  <c:v>96-97</c:v>
                </c:pt>
                <c:pt idx="7">
                  <c:v>97-98</c:v>
                </c:pt>
                <c:pt idx="8">
                  <c:v>98-99</c:v>
                </c:pt>
                <c:pt idx="9">
                  <c:v>99-00</c:v>
                </c:pt>
                <c:pt idx="10">
                  <c:v>00-01</c:v>
                </c:pt>
                <c:pt idx="11">
                  <c:v>01-02</c:v>
                </c:pt>
                <c:pt idx="12">
                  <c:v>02-03</c:v>
                </c:pt>
                <c:pt idx="13">
                  <c:v>03-04</c:v>
                </c:pt>
                <c:pt idx="14">
                  <c:v>04-05</c:v>
                </c:pt>
                <c:pt idx="15">
                  <c:v>05-06</c:v>
                </c:pt>
                <c:pt idx="16">
                  <c:v>06-07</c:v>
                </c:pt>
                <c:pt idx="17">
                  <c:v>07-08</c:v>
                </c:pt>
                <c:pt idx="18">
                  <c:v>08-09</c:v>
                </c:pt>
                <c:pt idx="19">
                  <c:v>09-10</c:v>
                </c:pt>
                <c:pt idx="20">
                  <c:v>10-11</c:v>
                </c:pt>
                <c:pt idx="21">
                  <c:v>11-12</c:v>
                </c:pt>
                <c:pt idx="22">
                  <c:v>12-13</c:v>
                </c:pt>
              </c:strCache>
            </c:strRef>
          </c:cat>
          <c:val>
            <c:numRef>
              <c:f>'HDD vs Consump Stats'!$E$35:$E$57</c:f>
              <c:numCache>
                <c:formatCode>"$"#,##0.00_);\("$"#,##0.00\)</c:formatCode>
                <c:ptCount val="23"/>
                <c:pt idx="0">
                  <c:v>2516.71</c:v>
                </c:pt>
                <c:pt idx="1">
                  <c:v>1597.7</c:v>
                </c:pt>
                <c:pt idx="2">
                  <c:v>1658.3445999999999</c:v>
                </c:pt>
                <c:pt idx="3">
                  <c:v>2121.0704999999998</c:v>
                </c:pt>
                <c:pt idx="4">
                  <c:v>1556.6662000000001</c:v>
                </c:pt>
                <c:pt idx="5">
                  <c:v>2117.7599999999998</c:v>
                </c:pt>
                <c:pt idx="6">
                  <c:v>2931.4625999999998</c:v>
                </c:pt>
                <c:pt idx="7">
                  <c:v>2236.4154000000003</c:v>
                </c:pt>
                <c:pt idx="8">
                  <c:v>1994.52</c:v>
                </c:pt>
                <c:pt idx="9">
                  <c:v>2216.9900000000002</c:v>
                </c:pt>
                <c:pt idx="10">
                  <c:v>5069.62</c:v>
                </c:pt>
                <c:pt idx="11">
                  <c:v>3265.32</c:v>
                </c:pt>
                <c:pt idx="12">
                  <c:v>4324.4978000000001</c:v>
                </c:pt>
                <c:pt idx="13">
                  <c:v>4237.5515999999998</c:v>
                </c:pt>
                <c:pt idx="14">
                  <c:v>4619.1099999999997</c:v>
                </c:pt>
                <c:pt idx="15">
                  <c:v>7154.7574199999999</c:v>
                </c:pt>
                <c:pt idx="16">
                  <c:v>7154.7574199999999</c:v>
                </c:pt>
                <c:pt idx="17">
                  <c:v>7859.94</c:v>
                </c:pt>
                <c:pt idx="18">
                  <c:v>5147.74</c:v>
                </c:pt>
                <c:pt idx="19">
                  <c:v>4614.3</c:v>
                </c:pt>
                <c:pt idx="20">
                  <c:v>4947.7</c:v>
                </c:pt>
                <c:pt idx="21">
                  <c:v>3160.37</c:v>
                </c:pt>
                <c:pt idx="22">
                  <c:v>3938.1</c:v>
                </c:pt>
              </c:numCache>
            </c:numRef>
          </c:val>
        </c:ser>
        <c:dLbls/>
        <c:marker val="1"/>
        <c:axId val="92488448"/>
        <c:axId val="92489984"/>
      </c:lineChart>
      <c:catAx>
        <c:axId val="9247616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YEAR</a:t>
                </a:r>
              </a:p>
            </c:rich>
          </c:tx>
          <c:layout>
            <c:manualLayout>
              <c:xMode val="edge"/>
              <c:yMode val="edge"/>
              <c:x val="0.44264114712933261"/>
              <c:y val="0.95106104396004332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2478080"/>
        <c:crosses val="autoZero"/>
        <c:lblAlgn val="ctr"/>
        <c:lblOffset val="100"/>
        <c:tickLblSkip val="1"/>
        <c:tickMarkSkip val="1"/>
      </c:catAx>
      <c:valAx>
        <c:axId val="92478080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 rot="5400000" vert="horz"/>
              <a:lstStyle/>
              <a:p>
                <a:pPr algn="ctr"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BTUs x 10MIL</a:t>
                </a:r>
              </a:p>
            </c:rich>
          </c:tx>
          <c:layout>
            <c:manualLayout>
              <c:xMode val="edge"/>
              <c:yMode val="edge"/>
              <c:x val="1.0822510822510827E-2"/>
              <c:y val="0.46492693307301391"/>
            </c:manualLayout>
          </c:layout>
          <c:spPr>
            <a:noFill/>
            <a:ln w="25400">
              <a:noFill/>
            </a:ln>
          </c:spPr>
        </c:title>
        <c:numFmt formatCode="#,##0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2476160"/>
        <c:crosses val="autoZero"/>
        <c:crossBetween val="between"/>
      </c:valAx>
      <c:catAx>
        <c:axId val="92488448"/>
        <c:scaling>
          <c:orientation val="minMax"/>
        </c:scaling>
        <c:delete val="1"/>
        <c:axPos val="b"/>
        <c:tickLblPos val="none"/>
        <c:crossAx val="92489984"/>
        <c:crosses val="autoZero"/>
        <c:lblAlgn val="ctr"/>
        <c:lblOffset val="100"/>
      </c:catAx>
      <c:valAx>
        <c:axId val="92489984"/>
        <c:scaling>
          <c:orientation val="minMax"/>
          <c:max val="10000"/>
        </c:scaling>
        <c:axPos val="r"/>
        <c:title>
          <c:tx>
            <c:rich>
              <a:bodyPr rot="5400000" vert="horz"/>
              <a:lstStyle/>
              <a:p>
                <a:pPr algn="ctr">
                  <a:defRPr sz="10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DOLLARS x100</a:t>
                </a:r>
              </a:p>
            </c:rich>
          </c:tx>
          <c:layout>
            <c:manualLayout>
              <c:xMode val="edge"/>
              <c:yMode val="edge"/>
              <c:x val="0.92857245117087661"/>
              <c:y val="0.4747148612948805"/>
            </c:manualLayout>
          </c:layout>
          <c:spPr>
            <a:noFill/>
            <a:ln w="25400">
              <a:noFill/>
            </a:ln>
          </c:spPr>
        </c:title>
        <c:numFmt formatCode="&quot;$&quot;#,##0.00_);\(&quot;$&quot;#,##0.00\)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2488448"/>
        <c:crosses val="max"/>
        <c:crossBetween val="between"/>
        <c:majorUnit val="1000"/>
        <c:minorUnit val="500"/>
      </c:valAx>
      <c:spPr>
        <a:solidFill>
          <a:srgbClr val="FFFFFF"/>
        </a:solidFill>
        <a:ln w="12700">
          <a:solidFill>
            <a:srgbClr val="FFFFFF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10930747292952017"/>
          <c:y val="9.1353996737357251E-2"/>
          <c:w val="0.75757655293089188"/>
          <c:h val="8.8091353996738744E-2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Footer>&amp;LHDDCOM&amp;R
&amp;D</c:oddFooter>
    </c:headerFooter>
    <c:pageMargins b="1" l="0.7500000000000141" r="0.7500000000000141" t="1" header="0.5" footer="0.5"/>
    <c:pageSetup orientation="landscape"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4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/>
              <a:t>CONDENSATE CONSUMPTION BY BUILDING
2012-2013</a:t>
            </a:r>
          </a:p>
        </c:rich>
      </c:tx>
      <c:layout>
        <c:manualLayout>
          <c:xMode val="edge"/>
          <c:yMode val="edge"/>
          <c:x val="0.27936507936508675"/>
          <c:y val="1.986754966887461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2804232804233284"/>
          <c:y val="0.17350993377483859"/>
          <c:w val="0.77566137566139348"/>
          <c:h val="0.81192052980132356"/>
        </c:manualLayout>
      </c:layout>
      <c:barChart>
        <c:barDir val="col"/>
        <c:grouping val="clustered"/>
        <c:ser>
          <c:idx val="1"/>
          <c:order val="0"/>
          <c:tx>
            <c:v>Consumption</c:v>
          </c:tx>
          <c:spPr>
            <a:solidFill>
              <a:srgbClr val="80206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'Condensate by Bldg'!$A$5:$A$26</c:f>
              <c:strCache>
                <c:ptCount val="22"/>
                <c:pt idx="0">
                  <c:v>ART &amp; POWER PLANT</c:v>
                </c:pt>
                <c:pt idx="1">
                  <c:v>CARNEGIE</c:v>
                </c:pt>
                <c:pt idx="2">
                  <c:v>OLD MAIN</c:v>
                </c:pt>
                <c:pt idx="3">
                  <c:v>LIBRARY</c:v>
                </c:pt>
                <c:pt idx="4">
                  <c:v>WEYERHAEUSER HALL</c:v>
                </c:pt>
                <c:pt idx="5">
                  <c:v>CHAPEL</c:v>
                </c:pt>
                <c:pt idx="6">
                  <c:v>BIGELOW</c:v>
                </c:pt>
                <c:pt idx="7">
                  <c:v>WALLACE &amp; 30 MAC</c:v>
                </c:pt>
                <c:pt idx="8">
                  <c:v>GD DAYTON</c:v>
                </c:pt>
                <c:pt idx="9">
                  <c:v>DOTY</c:v>
                </c:pt>
                <c:pt idx="10">
                  <c:v>TURCK</c:v>
                </c:pt>
                <c:pt idx="11">
                  <c:v>DUPRE</c:v>
                </c:pt>
                <c:pt idx="12">
                  <c:v>KAGIN</c:v>
                </c:pt>
                <c:pt idx="13">
                  <c:v>MARKIM HALL</c:v>
                </c:pt>
                <c:pt idx="14">
                  <c:v>CAMPUS CENTER</c:v>
                </c:pt>
                <c:pt idx="15">
                  <c:v>KIRK</c:v>
                </c:pt>
                <c:pt idx="16">
                  <c:v>LEONARD CENTER</c:v>
                </c:pt>
                <c:pt idx="17">
                  <c:v>RICE</c:v>
                </c:pt>
                <c:pt idx="18">
                  <c:v>MUSIC</c:v>
                </c:pt>
                <c:pt idx="19">
                  <c:v>HUMANITIES</c:v>
                </c:pt>
                <c:pt idx="20">
                  <c:v>DISTRICT HEATING</c:v>
                </c:pt>
                <c:pt idx="21">
                  <c:v>THEATER</c:v>
                </c:pt>
              </c:strCache>
            </c:strRef>
          </c:cat>
          <c:val>
            <c:numRef>
              <c:f>'Condensate by Bldg'!$Z$5:$Z$26</c:f>
              <c:numCache>
                <c:formatCode>#,##0_);[Red]\(#,##0\)</c:formatCode>
                <c:ptCount val="22"/>
                <c:pt idx="0">
                  <c:v>915430</c:v>
                </c:pt>
                <c:pt idx="1">
                  <c:v>64220</c:v>
                </c:pt>
                <c:pt idx="2">
                  <c:v>45850</c:v>
                </c:pt>
                <c:pt idx="3">
                  <c:v>127410</c:v>
                </c:pt>
                <c:pt idx="4">
                  <c:v>235910</c:v>
                </c:pt>
                <c:pt idx="5">
                  <c:v>128900</c:v>
                </c:pt>
                <c:pt idx="6">
                  <c:v>103990</c:v>
                </c:pt>
                <c:pt idx="7">
                  <c:v>231130</c:v>
                </c:pt>
                <c:pt idx="8">
                  <c:v>176200</c:v>
                </c:pt>
                <c:pt idx="9">
                  <c:v>327530</c:v>
                </c:pt>
                <c:pt idx="10">
                  <c:v>252410</c:v>
                </c:pt>
                <c:pt idx="11">
                  <c:v>269210</c:v>
                </c:pt>
                <c:pt idx="12">
                  <c:v>203500</c:v>
                </c:pt>
                <c:pt idx="14">
                  <c:v>2394280</c:v>
                </c:pt>
                <c:pt idx="15">
                  <c:v>252399</c:v>
                </c:pt>
                <c:pt idx="16">
                  <c:v>726094</c:v>
                </c:pt>
                <c:pt idx="17">
                  <c:v>2095800</c:v>
                </c:pt>
                <c:pt idx="18">
                  <c:v>0</c:v>
                </c:pt>
                <c:pt idx="19">
                  <c:v>297660</c:v>
                </c:pt>
                <c:pt idx="20">
                  <c:v>105660</c:v>
                </c:pt>
                <c:pt idx="21">
                  <c:v>192270</c:v>
                </c:pt>
              </c:numCache>
            </c:numRef>
          </c:val>
        </c:ser>
        <c:dLbls/>
        <c:axId val="92832896"/>
        <c:axId val="92834432"/>
      </c:barChart>
      <c:lineChart>
        <c:grouping val="standard"/>
        <c:ser>
          <c:idx val="0"/>
          <c:order val="1"/>
          <c:tx>
            <c:v>Percentage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'Condensate by Bldg'!$A$5:$A$26</c:f>
              <c:strCache>
                <c:ptCount val="22"/>
                <c:pt idx="0">
                  <c:v>ART &amp; POWER PLANT</c:v>
                </c:pt>
                <c:pt idx="1">
                  <c:v>CARNEGIE</c:v>
                </c:pt>
                <c:pt idx="2">
                  <c:v>OLD MAIN</c:v>
                </c:pt>
                <c:pt idx="3">
                  <c:v>LIBRARY</c:v>
                </c:pt>
                <c:pt idx="4">
                  <c:v>WEYERHAEUSER HALL</c:v>
                </c:pt>
                <c:pt idx="5">
                  <c:v>CHAPEL</c:v>
                </c:pt>
                <c:pt idx="6">
                  <c:v>BIGELOW</c:v>
                </c:pt>
                <c:pt idx="7">
                  <c:v>WALLACE &amp; 30 MAC</c:v>
                </c:pt>
                <c:pt idx="8">
                  <c:v>GD DAYTON</c:v>
                </c:pt>
                <c:pt idx="9">
                  <c:v>DOTY</c:v>
                </c:pt>
                <c:pt idx="10">
                  <c:v>TURCK</c:v>
                </c:pt>
                <c:pt idx="11">
                  <c:v>DUPRE</c:v>
                </c:pt>
                <c:pt idx="12">
                  <c:v>KAGIN</c:v>
                </c:pt>
                <c:pt idx="13">
                  <c:v>MARKIM HALL</c:v>
                </c:pt>
                <c:pt idx="14">
                  <c:v>CAMPUS CENTER</c:v>
                </c:pt>
                <c:pt idx="15">
                  <c:v>KIRK</c:v>
                </c:pt>
                <c:pt idx="16">
                  <c:v>LEONARD CENTER</c:v>
                </c:pt>
                <c:pt idx="17">
                  <c:v>RICE</c:v>
                </c:pt>
                <c:pt idx="18">
                  <c:v>MUSIC</c:v>
                </c:pt>
                <c:pt idx="19">
                  <c:v>HUMANITIES</c:v>
                </c:pt>
                <c:pt idx="20">
                  <c:v>DISTRICT HEATING</c:v>
                </c:pt>
                <c:pt idx="21">
                  <c:v>THEATER</c:v>
                </c:pt>
              </c:strCache>
            </c:strRef>
          </c:cat>
          <c:val>
            <c:numRef>
              <c:f>'Condensate by Bldg'!$AA$5:$AA$26</c:f>
              <c:numCache>
                <c:formatCode>0.00%</c:formatCode>
                <c:ptCount val="22"/>
                <c:pt idx="0">
                  <c:v>0.10009235879911912</c:v>
                </c:pt>
                <c:pt idx="1">
                  <c:v>7.0217616661890367E-3</c:v>
                </c:pt>
                <c:pt idx="2">
                  <c:v>5.0132010650072775E-3</c:v>
                </c:pt>
                <c:pt idx="3">
                  <c:v>1.3930903984570931E-2</c:v>
                </c:pt>
                <c:pt idx="4">
                  <c:v>2.5794204214740823E-2</c:v>
                </c:pt>
                <c:pt idx="5">
                  <c:v>1.4093819351787088E-2</c:v>
                </c:pt>
                <c:pt idx="6">
                  <c:v>1.1370180561616287E-2</c:v>
                </c:pt>
                <c:pt idx="7">
                  <c:v>2.5271562969577579E-2</c:v>
                </c:pt>
                <c:pt idx="8">
                  <c:v>1.9265562217105393E-2</c:v>
                </c:pt>
                <c:pt idx="9">
                  <c:v>3.5811859210945117E-2</c:v>
                </c:pt>
                <c:pt idx="10">
                  <c:v>2.7598300563107674E-2</c:v>
                </c:pt>
                <c:pt idx="11">
                  <c:v>2.943519866326301E-2</c:v>
                </c:pt>
                <c:pt idx="12">
                  <c:v>2.2250521629857817E-2</c:v>
                </c:pt>
                <c:pt idx="14">
                  <c:v>0.26178859424047163</c:v>
                </c:pt>
                <c:pt idx="15">
                  <c:v>2.7597097832208761E-2</c:v>
                </c:pt>
                <c:pt idx="16">
                  <c:v>7.9390517210368453E-2</c:v>
                </c:pt>
                <c:pt idx="17">
                  <c:v>0.22915303799437844</c:v>
                </c:pt>
                <c:pt idx="18">
                  <c:v>0</c:v>
                </c:pt>
                <c:pt idx="19">
                  <c:v>3.2545898124537974E-2</c:v>
                </c:pt>
                <c:pt idx="20">
                  <c:v>1.1552776979905538E-2</c:v>
                </c:pt>
                <c:pt idx="21">
                  <c:v>2.1022642721242074E-2</c:v>
                </c:pt>
              </c:numCache>
            </c:numRef>
          </c:val>
        </c:ser>
        <c:dLbls/>
        <c:marker val="1"/>
        <c:axId val="92848896"/>
        <c:axId val="92850432"/>
      </c:lineChart>
      <c:catAx>
        <c:axId val="92832896"/>
        <c:scaling>
          <c:orientation val="minMax"/>
        </c:scaling>
        <c:axPos val="b"/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2834432"/>
        <c:crosses val="autoZero"/>
        <c:lblAlgn val="ctr"/>
        <c:lblOffset val="100"/>
        <c:tickLblSkip val="1"/>
        <c:tickMarkSkip val="1"/>
      </c:catAx>
      <c:valAx>
        <c:axId val="92834432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 rot="5400000" vert="horz"/>
              <a:lstStyle/>
              <a:p>
                <a:pPr algn="ctr">
                  <a:defRPr sz="10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Gallons</a:t>
                </a:r>
              </a:p>
            </c:rich>
          </c:tx>
          <c:layout>
            <c:manualLayout>
              <c:xMode val="edge"/>
              <c:yMode val="edge"/>
              <c:x val="1.4814814814814815E-2"/>
              <c:y val="0.54437086092715237"/>
            </c:manualLayout>
          </c:layout>
          <c:spPr>
            <a:noFill/>
            <a:ln w="25400">
              <a:noFill/>
            </a:ln>
          </c:spPr>
        </c:title>
        <c:numFmt formatCode="#,##0_);[Red]\(#,##0\)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2832896"/>
        <c:crosses val="autoZero"/>
        <c:crossBetween val="between"/>
      </c:valAx>
      <c:catAx>
        <c:axId val="92848896"/>
        <c:scaling>
          <c:orientation val="minMax"/>
        </c:scaling>
        <c:delete val="1"/>
        <c:axPos val="b"/>
        <c:tickLblPos val="none"/>
        <c:crossAx val="92850432"/>
        <c:crosses val="autoZero"/>
        <c:lblAlgn val="ctr"/>
        <c:lblOffset val="100"/>
      </c:catAx>
      <c:valAx>
        <c:axId val="92850432"/>
        <c:scaling>
          <c:orientation val="minMax"/>
        </c:scaling>
        <c:axPos val="r"/>
        <c:title>
          <c:tx>
            <c:rich>
              <a:bodyPr rot="5400000" vert="horz"/>
              <a:lstStyle/>
              <a:p>
                <a:pPr algn="ctr">
                  <a:defRPr sz="10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Percentage</a:t>
                </a:r>
              </a:p>
            </c:rich>
          </c:tx>
          <c:layout>
            <c:manualLayout>
              <c:xMode val="edge"/>
              <c:yMode val="edge"/>
              <c:x val="0.96296296296294881"/>
              <c:y val="0.52847682119204265"/>
            </c:manualLayout>
          </c:layout>
          <c:spPr>
            <a:noFill/>
            <a:ln w="25400">
              <a:noFill/>
            </a:ln>
          </c:spPr>
        </c:title>
        <c:numFmt formatCode="0.00%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2848896"/>
        <c:crosses val="max"/>
        <c:crossBetween val="between"/>
      </c:valAx>
      <c:spPr>
        <a:solidFill>
          <a:srgbClr val="FFFFFF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1111111111111112"/>
          <c:y val="8.7417218543046349E-2"/>
          <c:w val="0.35132275132276286"/>
          <c:h val="7.9470198675496692E-2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noFill/>
    <a:ln w="9525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/>
              <a:t>ELECTRICAL CONSUMPTION BY BUILDING
2012-2013</a:t>
            </a:r>
          </a:p>
        </c:rich>
      </c:tx>
      <c:layout>
        <c:manualLayout>
          <c:xMode val="edge"/>
          <c:yMode val="edge"/>
          <c:x val="0.315791535937266"/>
          <c:y val="1.6856544617316491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3648005854372491"/>
          <c:y val="8.0748896359301797E-2"/>
          <c:w val="0.71240395170142656"/>
          <c:h val="0.797752808988764"/>
        </c:manualLayout>
      </c:layout>
      <c:barChart>
        <c:barDir val="col"/>
        <c:grouping val="clustered"/>
        <c:ser>
          <c:idx val="1"/>
          <c:order val="0"/>
          <c:spPr>
            <a:solidFill>
              <a:srgbClr val="80206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('Electrical Read by Bldg'!$A$4:$A$9,'Electrical Read by Bldg'!$A$11:$A$26,'Electrical Read by Bldg'!$A$28:$A$30)</c:f>
              <c:strCache>
                <c:ptCount val="25"/>
                <c:pt idx="0">
                  <c:v>MUSIC (PB1)</c:v>
                </c:pt>
                <c:pt idx="1">
                  <c:v>ART LIGHTS (TC)</c:v>
                </c:pt>
                <c:pt idx="2">
                  <c:v>THEATER (TA)</c:v>
                </c:pt>
                <c:pt idx="3">
                  <c:v>MUSIC LIGHTS (TB)</c:v>
                </c:pt>
                <c:pt idx="4">
                  <c:v>CARNEGIE</c:v>
                </c:pt>
                <c:pt idx="5">
                  <c:v>POWER PLANT</c:v>
                </c:pt>
                <c:pt idx="6">
                  <c:v>LIBRARY (minus OM, Kirk)</c:v>
                </c:pt>
                <c:pt idx="7">
                  <c:v>OLD MAIN</c:v>
                </c:pt>
                <c:pt idx="8">
                  <c:v>CHAPEL</c:v>
                </c:pt>
                <c:pt idx="9">
                  <c:v>BIGELOW</c:v>
                </c:pt>
                <c:pt idx="10">
                  <c:v>WEY HALL</c:v>
                </c:pt>
                <c:pt idx="11">
                  <c:v>WALLACE</c:v>
                </c:pt>
                <c:pt idx="12">
                  <c:v>DOTY</c:v>
                </c:pt>
                <c:pt idx="13">
                  <c:v>TURCK</c:v>
                </c:pt>
                <c:pt idx="14">
                  <c:v>30 MAC</c:v>
                </c:pt>
                <c:pt idx="15">
                  <c:v>GD DAYTON</c:v>
                </c:pt>
                <c:pt idx="16">
                  <c:v>DUPRE</c:v>
                </c:pt>
                <c:pt idx="17">
                  <c:v>KAGIN  (minus Markim Hall)</c:v>
                </c:pt>
                <c:pt idx="18">
                  <c:v>MARKIM HALL</c:v>
                </c:pt>
                <c:pt idx="19">
                  <c:v>CAMPUS CENTER</c:v>
                </c:pt>
                <c:pt idx="20">
                  <c:v>KIRK</c:v>
                </c:pt>
                <c:pt idx="21">
                  <c:v>LEONARD CENTER</c:v>
                </c:pt>
                <c:pt idx="22">
                  <c:v>STADIUM</c:v>
                </c:pt>
                <c:pt idx="23">
                  <c:v>RICE</c:v>
                </c:pt>
                <c:pt idx="24">
                  <c:v>HUM POW &amp; LIG</c:v>
                </c:pt>
              </c:strCache>
            </c:strRef>
          </c:cat>
          <c:val>
            <c:numRef>
              <c:f>('Electrical Read by Bldg'!$AA$4:$AA$9,'Electrical Read by Bldg'!$AA$11:$AA$26,'Electrical Read by Bldg'!$AA$28:$AA$30)</c:f>
              <c:numCache>
                <c:formatCode>#,##0_);\(#,##0\)</c:formatCode>
                <c:ptCount val="2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645800</c:v>
                </c:pt>
                <c:pt idx="7">
                  <c:v>205240</c:v>
                </c:pt>
                <c:pt idx="8">
                  <c:v>104280</c:v>
                </c:pt>
                <c:pt idx="9">
                  <c:v>218460</c:v>
                </c:pt>
                <c:pt idx="10">
                  <c:v>95200</c:v>
                </c:pt>
                <c:pt idx="11">
                  <c:v>961560</c:v>
                </c:pt>
                <c:pt idx="12">
                  <c:v>209880</c:v>
                </c:pt>
                <c:pt idx="13">
                  <c:v>60495</c:v>
                </c:pt>
                <c:pt idx="14">
                  <c:v>821617.5</c:v>
                </c:pt>
                <c:pt idx="15">
                  <c:v>345658</c:v>
                </c:pt>
                <c:pt idx="16">
                  <c:v>312894</c:v>
                </c:pt>
                <c:pt idx="17">
                  <c:v>1416209.719</c:v>
                </c:pt>
                <c:pt idx="18">
                  <c:v>61088.281000000017</c:v>
                </c:pt>
                <c:pt idx="19">
                  <c:v>1201102</c:v>
                </c:pt>
                <c:pt idx="20">
                  <c:v>170400</c:v>
                </c:pt>
                <c:pt idx="21">
                  <c:v>4122840</c:v>
                </c:pt>
                <c:pt idx="22">
                  <c:v>717000</c:v>
                </c:pt>
                <c:pt idx="23">
                  <c:v>1913511</c:v>
                </c:pt>
                <c:pt idx="24">
                  <c:v>219000</c:v>
                </c:pt>
              </c:numCache>
            </c:numRef>
          </c:val>
        </c:ser>
        <c:dLbls/>
        <c:axId val="93025024"/>
        <c:axId val="93026560"/>
      </c:barChart>
      <c:lineChart>
        <c:grouping val="standard"/>
        <c:ser>
          <c:idx val="0"/>
          <c:order val="1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('Electrical Read by Bldg'!$AB$4:$AB$9,'Electrical Read by Bldg'!$AB$11:$AB$26,'Electrical Read by Bldg'!$AB$28:$AB$30)</c:f>
              <c:numCache>
                <c:formatCode>0.00%</c:formatCode>
                <c:ptCount val="2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2.534174120874965E-2</c:v>
                </c:pt>
                <c:pt idx="7">
                  <c:v>8.0537921425886932E-3</c:v>
                </c:pt>
                <c:pt idx="8">
                  <c:v>4.0920358830108606E-3</c:v>
                </c:pt>
                <c:pt idx="9">
                  <c:v>8.572556185294903E-3</c:v>
                </c:pt>
                <c:pt idx="10">
                  <c:v>3.7357289610916175E-3</c:v>
                </c:pt>
                <c:pt idx="11">
                  <c:v>3.7732432141042604E-2</c:v>
                </c:pt>
                <c:pt idx="12">
                  <c:v>8.2358696885914788E-3</c:v>
                </c:pt>
                <c:pt idx="13">
                  <c:v>2.3738752468617373E-3</c:v>
                </c:pt>
                <c:pt idx="14">
                  <c:v>3.2240969429513572E-2</c:v>
                </c:pt>
                <c:pt idx="15">
                  <c:v>1.3563913878497966E-2</c:v>
                </c:pt>
                <c:pt idx="16">
                  <c:v>1.227822665495589E-2</c:v>
                </c:pt>
                <c:pt idx="17">
                  <c:v>5.5573273763106321E-2</c:v>
                </c:pt>
                <c:pt idx="18">
                  <c:v>2.3971560978466688E-3</c:v>
                </c:pt>
                <c:pt idx="19">
                  <c:v>4.7132263935137225E-2</c:v>
                </c:pt>
                <c:pt idx="20">
                  <c:v>6.6866409135505423E-3</c:v>
                </c:pt>
                <c:pt idx="21">
                  <c:v>0.16178374779356056</c:v>
                </c:pt>
                <c:pt idx="22">
                  <c:v>2.8135689759482035E-2</c:v>
                </c:pt>
                <c:pt idx="23">
                  <c:v>7.5087798950287624E-2</c:v>
                </c:pt>
                <c:pt idx="24">
                  <c:v>8.5937462445279857E-3</c:v>
                </c:pt>
              </c:numCache>
            </c:numRef>
          </c:val>
        </c:ser>
        <c:dLbls/>
        <c:marker val="1"/>
        <c:axId val="93045120"/>
        <c:axId val="93046656"/>
      </c:lineChart>
      <c:catAx>
        <c:axId val="93025024"/>
        <c:scaling>
          <c:orientation val="minMax"/>
        </c:scaling>
        <c:axPos val="b"/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3026560"/>
        <c:crosses val="autoZero"/>
        <c:auto val="1"/>
        <c:lblAlgn val="ctr"/>
        <c:lblOffset val="100"/>
        <c:tickLblSkip val="1"/>
        <c:tickMarkSkip val="1"/>
      </c:catAx>
      <c:valAx>
        <c:axId val="93026560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 rot="-5400000" vert="horz"/>
              <a:lstStyle/>
              <a:p>
                <a:pPr algn="ctr">
                  <a:defRPr sz="10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Consumption by Kwh</a:t>
                </a:r>
              </a:p>
            </c:rich>
          </c:tx>
          <c:layout>
            <c:manualLayout>
              <c:xMode val="edge"/>
              <c:yMode val="edge"/>
              <c:x val="2.0479586045158191E-2"/>
              <c:y val="0.22043250211701071"/>
            </c:manualLayout>
          </c:layout>
          <c:spPr>
            <a:noFill/>
            <a:ln w="25400">
              <a:noFill/>
            </a:ln>
          </c:spPr>
        </c:title>
        <c:numFmt formatCode="#,##0_);\(#,##0\)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3025024"/>
        <c:crosses val="autoZero"/>
        <c:crossBetween val="between"/>
      </c:valAx>
      <c:catAx>
        <c:axId val="93045120"/>
        <c:scaling>
          <c:orientation val="minMax"/>
        </c:scaling>
        <c:delete val="1"/>
        <c:axPos val="b"/>
        <c:tickLblPos val="none"/>
        <c:crossAx val="93046656"/>
        <c:crosses val="autoZero"/>
        <c:lblAlgn val="ctr"/>
        <c:lblOffset val="100"/>
      </c:catAx>
      <c:valAx>
        <c:axId val="93046656"/>
        <c:scaling>
          <c:orientation val="minMax"/>
        </c:scaling>
        <c:axPos val="r"/>
        <c:title>
          <c:tx>
            <c:rich>
              <a:bodyPr rot="5400000" vert="horz"/>
              <a:lstStyle/>
              <a:p>
                <a:pPr algn="ctr">
                  <a:defRPr sz="10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Percentage of Total Campus Consumption</a:t>
                </a:r>
              </a:p>
            </c:rich>
          </c:tx>
          <c:layout>
            <c:manualLayout>
              <c:xMode val="edge"/>
              <c:yMode val="edge"/>
              <c:x val="0.94424148134062824"/>
              <c:y val="0.16085573572966302"/>
            </c:manualLayout>
          </c:layout>
          <c:spPr>
            <a:noFill/>
            <a:ln w="25400">
              <a:noFill/>
            </a:ln>
          </c:spPr>
        </c:title>
        <c:numFmt formatCode="0.00%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3045120"/>
        <c:crosses val="max"/>
        <c:crossBetween val="between"/>
      </c:valAx>
      <c:spPr>
        <a:solidFill>
          <a:srgbClr val="FFFFFF"/>
        </a:solidFill>
        <a:ln w="12700">
          <a:solidFill>
            <a:srgbClr val="808080"/>
          </a:solidFill>
          <a:prstDash val="solid"/>
        </a:ln>
      </c:spPr>
    </c:plotArea>
    <c:plotVisOnly val="1"/>
    <c:dispBlanksAs val="gap"/>
  </c:chart>
  <c:spPr>
    <a:noFill/>
    <a:ln w="9525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0.5" l="0.5" r="0.5" t="0.25" header="0" footer="0"/>
    <c:pageSetup orientation="landscape" horizontalDpi="300" verticalDpi="300"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/>
              <a:t>Wind Turbine Output</a:t>
            </a:r>
          </a:p>
        </c:rich>
      </c:tx>
      <c:layout>
        <c:manualLayout>
          <c:xMode val="edge"/>
          <c:yMode val="edge"/>
          <c:x val="0.41034149609186638"/>
          <c:y val="2.7375201288245415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8.030811708019317E-2"/>
          <c:y val="0.1835751679108292"/>
          <c:w val="0.90319128935395321"/>
          <c:h val="0.71336666126751958"/>
        </c:manualLayout>
      </c:layout>
      <c:lineChart>
        <c:grouping val="standard"/>
        <c:ser>
          <c:idx val="1"/>
          <c:order val="0"/>
          <c:tx>
            <c:v>'11-'12</c:v>
          </c:tx>
          <c:cat>
            <c:strRef>
              <c:f>'Wind Turbine Data'!$B$2:$M$2</c:f>
              <c:strCache>
                <c:ptCount val="12"/>
                <c:pt idx="0">
                  <c:v>June</c:v>
                </c:pt>
                <c:pt idx="1">
                  <c:v>July</c:v>
                </c:pt>
                <c:pt idx="2">
                  <c:v>Aug.</c:v>
                </c:pt>
                <c:pt idx="3">
                  <c:v>Sept.</c:v>
                </c:pt>
                <c:pt idx="4">
                  <c:v>Oct.</c:v>
                </c:pt>
                <c:pt idx="5">
                  <c:v>Nov.</c:v>
                </c:pt>
                <c:pt idx="6">
                  <c:v>Dec.</c:v>
                </c:pt>
                <c:pt idx="7">
                  <c:v>Jan.</c:v>
                </c:pt>
                <c:pt idx="8">
                  <c:v>Feb.</c:v>
                </c:pt>
                <c:pt idx="9">
                  <c:v>March</c:v>
                </c:pt>
                <c:pt idx="10">
                  <c:v>April</c:v>
                </c:pt>
                <c:pt idx="11">
                  <c:v>May</c:v>
                </c:pt>
              </c:strCache>
            </c:strRef>
          </c:cat>
          <c:val>
            <c:numRef>
              <c:f>'Wind Turbine Data'!$B$34:$M$34</c:f>
              <c:numCache>
                <c:formatCode>General</c:formatCode>
                <c:ptCount val="12"/>
                <c:pt idx="0">
                  <c:v>88.350999999999985</c:v>
                </c:pt>
                <c:pt idx="1">
                  <c:v>49.478000000000009</c:v>
                </c:pt>
                <c:pt idx="2">
                  <c:v>54.640999999999998</c:v>
                </c:pt>
                <c:pt idx="3">
                  <c:v>103.94300000000001</c:v>
                </c:pt>
                <c:pt idx="4">
                  <c:v>142.99600000000001</c:v>
                </c:pt>
                <c:pt idx="5">
                  <c:v>129.471</c:v>
                </c:pt>
                <c:pt idx="6">
                  <c:v>150.27500000000001</c:v>
                </c:pt>
                <c:pt idx="7">
                  <c:v>141.703</c:v>
                </c:pt>
                <c:pt idx="8">
                  <c:v>129.13500000000002</c:v>
                </c:pt>
                <c:pt idx="9">
                  <c:v>126.91299999999998</c:v>
                </c:pt>
                <c:pt idx="10">
                  <c:v>139.62300000000002</c:v>
                </c:pt>
                <c:pt idx="11">
                  <c:v>150.05000000000001</c:v>
                </c:pt>
              </c:numCache>
            </c:numRef>
          </c:val>
        </c:ser>
        <c:dLbls>
          <c:showVal val="1"/>
        </c:dLbls>
        <c:marker val="1"/>
        <c:axId val="92973312"/>
        <c:axId val="92078464"/>
      </c:lineChart>
      <c:catAx>
        <c:axId val="9297331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MONTH</a:t>
                </a:r>
              </a:p>
            </c:rich>
          </c:tx>
          <c:layout>
            <c:manualLayout>
              <c:xMode val="edge"/>
              <c:yMode val="edge"/>
              <c:x val="0.50385096252408423"/>
              <c:y val="0.94686142493058978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2078464"/>
        <c:crosses val="autoZero"/>
        <c:auto val="1"/>
        <c:lblAlgn val="ctr"/>
        <c:lblOffset val="100"/>
        <c:tickLblSkip val="1"/>
        <c:tickMarkSkip val="1"/>
      </c:catAx>
      <c:valAx>
        <c:axId val="92078464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Kilowatts</a:t>
                </a:r>
              </a:p>
            </c:rich>
          </c:tx>
          <c:layout>
            <c:manualLayout>
              <c:xMode val="edge"/>
              <c:yMode val="edge"/>
              <c:x val="1.8701870187019205E-2"/>
              <c:y val="0.48953385657710663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2973312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plotVisOnly val="1"/>
    <c:dispBlanksAs val="gap"/>
  </c:chart>
  <c:spPr>
    <a:noFill/>
    <a:ln w="9525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141" r="0.7500000000000141" t="1" header="0.5" footer="0.5"/>
    <c:pageSetup/>
  </c:printSettings>
</c:chartSpac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chart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8.bin"/></Relationships>
</file>

<file path=xl/chart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2.bin"/></Relationships>
</file>

<file path=xl/chart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4.bin"/></Relationships>
</file>

<file path=xl/chart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6.bin"/></Relationships>
</file>

<file path=xl/chart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9.bin"/></Relationships>
</file>

<file path=xl/chart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23.bin"/></Relationships>
</file>

<file path=xl/chartsheets/sheet1.xml><?xml version="1.0" encoding="utf-8"?>
<chartsheet xmlns="http://schemas.openxmlformats.org/spreadsheetml/2006/main" xmlns:r="http://schemas.openxmlformats.org/officeDocument/2006/relationships">
  <sheetPr codeName="Chart4"/>
  <sheetViews>
    <sheetView workbookViewId="0"/>
  </sheetViews>
  <pageMargins left="0.75" right="0.75" top="1" bottom="1" header="0.5" footer="0.5"/>
  <pageSetup orientation="landscape" horizontalDpi="300" verticalDpi="300" r:id="rId1"/>
  <headerFooter alignWithMargins="0">
    <oddFooter>&amp;Ldpb&amp;R&amp;D</oddFooter>
  </headerFooter>
  <drawing r:id="rId2"/>
</chartsheet>
</file>

<file path=xl/chartsheets/sheet2.xml><?xml version="1.0" encoding="utf-8"?>
<chartsheet xmlns="http://schemas.openxmlformats.org/spreadsheetml/2006/main" xmlns:r="http://schemas.openxmlformats.org/officeDocument/2006/relationships">
  <sheetPr codeName="Chart8"/>
  <sheetViews>
    <sheetView workbookViewId="0"/>
  </sheetViews>
  <pageMargins left="0.75" right="0.75" top="1" bottom="1" header="0.5" footer="0.5"/>
  <pageSetup orientation="landscape" r:id="rId1"/>
  <headerFooter alignWithMargins="0">
    <oddFooter>&amp;L3ELECHT&amp;R&amp;D</oddFooter>
  </headerFooter>
  <drawing r:id="rId2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workbookViewId="0"/>
  </sheetViews>
  <pageMargins left="0.7" right="0.7" top="0.75" bottom="0.75" header="0.3" footer="0.3"/>
  <pageSetup orientation="landscape" r:id="rId1"/>
  <drawing r:id="rId2"/>
</chartsheet>
</file>

<file path=xl/chartsheets/sheet4.xml><?xml version="1.0" encoding="utf-8"?>
<chartsheet xmlns="http://schemas.openxmlformats.org/spreadsheetml/2006/main" xmlns:r="http://schemas.openxmlformats.org/officeDocument/2006/relationships">
  <sheetPr codeName="Chart14"/>
  <sheetViews>
    <sheetView workbookViewId="0"/>
  </sheetViews>
  <pageMargins left="0.75" right="0.75" top="1" bottom="1" header="0.5" footer="0.5"/>
  <pageSetup orientation="landscape" r:id="rId1"/>
  <headerFooter alignWithMargins="0"/>
  <drawing r:id="rId2"/>
</chartsheet>
</file>

<file path=xl/chartsheets/sheet5.xml><?xml version="1.0" encoding="utf-8"?>
<chartsheet xmlns="http://schemas.openxmlformats.org/spreadsheetml/2006/main" xmlns:r="http://schemas.openxmlformats.org/officeDocument/2006/relationships">
  <sheetPr codeName="Chart16"/>
  <sheetViews>
    <sheetView workbookViewId="0"/>
  </sheetViews>
  <pageMargins left="0.75" right="0.75" top="1" bottom="1" header="0.5" footer="0.5"/>
  <pageSetup orientation="landscape" r:id="rId1"/>
  <headerFooter alignWithMargins="0"/>
  <drawing r:id="rId2"/>
</chartsheet>
</file>

<file path=xl/chartsheets/sheet6.xml><?xml version="1.0" encoding="utf-8"?>
<chartsheet xmlns="http://schemas.openxmlformats.org/spreadsheetml/2006/main" xmlns:r="http://schemas.openxmlformats.org/officeDocument/2006/relationships">
  <sheetPr codeName="Chart19"/>
  <sheetViews>
    <sheetView workbookViewId="0"/>
  </sheetViews>
  <pageMargins left="0.75" right="0.75" top="1" bottom="1" header="0.5" footer="0.5"/>
  <pageSetup orientation="landscape" r:id="rId1"/>
  <headerFooter alignWithMargins="0">
    <oddFooter>&amp;LHDDBTU&amp;R&amp;D</oddFooter>
  </headerFooter>
  <drawing r:id="rId2"/>
</chartsheet>
</file>

<file path=xl/chartsheets/sheet7.xml><?xml version="1.0" encoding="utf-8"?>
<chartsheet xmlns="http://schemas.openxmlformats.org/spreadsheetml/2006/main" xmlns:r="http://schemas.openxmlformats.org/officeDocument/2006/relationships">
  <sheetPr codeName="Chart23"/>
  <sheetViews>
    <sheetView workbookViewId="0"/>
  </sheetViews>
  <pageMargins left="0.5" right="0.5" top="0.25" bottom="0.25" header="0" footer="0"/>
  <pageSetup orientation="landscape" verticalDpi="300" r:id="rId1"/>
  <headerFooter alignWithMargins="0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564880" cy="582168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0.03</cdr:x>
      <cdr:y>0.84165</cdr:y>
    </cdr:from>
    <cdr:to>
      <cdr:x>1</cdr:x>
      <cdr:y>0.90715</cdr:y>
    </cdr:to>
    <cdr:sp macro="" textlink="">
      <cdr:nvSpPr>
        <cdr:cNvPr id="1029" name="Text 5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75368" y="4898215"/>
          <a:ext cx="8287607" cy="38119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36576" tIns="22860" rIns="36576" bIns="22860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sz="1200" b="0" i="0" strike="noStrike">
              <a:solidFill>
                <a:srgbClr val="000000"/>
              </a:solidFill>
              <a:latin typeface="Arial"/>
              <a:cs typeface="Arial"/>
            </a:rPr>
            <a:t>JUN       JUL       AUG       SEP       OCT      NOV      DEC      JAN      FEB       MAR      APR      MAY</a:t>
          </a:r>
        </a:p>
        <a:p xmlns:a="http://schemas.openxmlformats.org/drawingml/2006/main">
          <a:pPr algn="ctr" rtl="0">
            <a:defRPr sz="1000"/>
          </a:pPr>
          <a:endParaRPr lang="en-US" sz="12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ctr" rtl="0">
            <a:defRPr sz="1000"/>
          </a:pPr>
          <a:endParaRPr lang="en-US" sz="12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ctr" rtl="0">
            <a:defRPr sz="1000"/>
          </a:pPr>
          <a:endParaRPr lang="en-US" sz="12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ctr" rtl="0">
            <a:defRPr sz="1000"/>
          </a:pPr>
          <a:endParaRPr lang="en-US" sz="12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ctr" rtl="0">
            <a:defRPr sz="1000"/>
          </a:pPr>
          <a:r>
            <a:rPr lang="en-US" sz="1200" b="0" i="0" strike="noStrike">
              <a:solidFill>
                <a:srgbClr val="000000"/>
              </a:solidFill>
              <a:latin typeface="Arial"/>
              <a:cs typeface="Arial"/>
            </a:rPr>
            <a:t>   MAY</a:t>
          </a:r>
        </a:p>
      </cdr:txBody>
    </cdr:sp>
  </cdr:relSizeAnchor>
  <cdr:relSizeAnchor xmlns:cdr="http://schemas.openxmlformats.org/drawingml/2006/chartDrawing">
    <cdr:from>
      <cdr:x>0.27325</cdr:x>
      <cdr:y>0.13</cdr:y>
    </cdr:from>
    <cdr:to>
      <cdr:x>0.396</cdr:x>
      <cdr:y>0.16275</cdr:y>
    </cdr:to>
    <cdr:sp macro="" textlink="">
      <cdr:nvSpPr>
        <cdr:cNvPr id="1031" name="Text 7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334628" y="756571"/>
          <a:ext cx="1048766" cy="19059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0.434</cdr:x>
      <cdr:y>0.13125</cdr:y>
    </cdr:from>
    <cdr:to>
      <cdr:x>0.55875</cdr:x>
      <cdr:y>0.164</cdr:y>
    </cdr:to>
    <cdr:sp macro="" textlink="">
      <cdr:nvSpPr>
        <cdr:cNvPr id="1032" name="Text 8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708063" y="763845"/>
          <a:ext cx="1065855" cy="1905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22860" rIns="27432" bIns="22860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endParaRPr lang="en-US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ctr" rtl="0">
            <a:defRPr sz="1000"/>
          </a:pPr>
          <a:endParaRPr lang="en-US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ctr" rtl="0">
            <a:defRPr sz="1000"/>
          </a:pPr>
          <a:endParaRPr lang="en-US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ctr" rtl="0">
            <a:defRPr sz="1000"/>
          </a:pPr>
          <a:endParaRPr lang="en-US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ctr" rtl="0">
            <a:defRPr sz="1000"/>
          </a:pPr>
          <a:r>
            <a:rPr lang="en-US" sz="1000" b="0" i="0" strike="noStrike">
              <a:solidFill>
                <a:srgbClr val="000000"/>
              </a:solidFill>
              <a:latin typeface="Arial"/>
              <a:cs typeface="Arial"/>
            </a:rPr>
            <a:t>11,611,968Kwh</a:t>
          </a:r>
        </a:p>
        <a:p xmlns:a="http://schemas.openxmlformats.org/drawingml/2006/main">
          <a:pPr algn="ctr" rtl="0">
            <a:defRPr sz="1000"/>
          </a:pPr>
          <a:r>
            <a:rPr lang="en-US" sz="1000" b="0" i="0" strike="noStrike">
              <a:solidFill>
                <a:srgbClr val="000000"/>
              </a:solidFill>
              <a:latin typeface="Arial"/>
              <a:cs typeface="Arial"/>
            </a:rPr>
            <a:t>11,611,968Kwh</a:t>
          </a:r>
        </a:p>
        <a:p xmlns:a="http://schemas.openxmlformats.org/drawingml/2006/main">
          <a:pPr algn="ctr" rtl="0">
            <a:defRPr sz="1000"/>
          </a:pPr>
          <a:r>
            <a:rPr lang="en-US" sz="1000" b="0" i="0" strike="noStrike">
              <a:solidFill>
                <a:srgbClr val="000000"/>
              </a:solidFill>
              <a:latin typeface="Arial"/>
              <a:cs typeface="Arial"/>
            </a:rPr>
            <a:t>11611968</a:t>
          </a:r>
        </a:p>
        <a:p xmlns:a="http://schemas.openxmlformats.org/drawingml/2006/main">
          <a:pPr algn="ctr" rtl="0">
            <a:defRPr sz="1000"/>
          </a:pPr>
          <a:endParaRPr lang="en-US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ctr" rtl="0">
            <a:defRPr sz="1000"/>
          </a:pPr>
          <a:r>
            <a:rPr lang="en-US" sz="1000" b="0" i="0" strike="noStrike">
              <a:solidFill>
                <a:srgbClr val="000000"/>
              </a:solidFill>
              <a:latin typeface="Arial"/>
              <a:cs typeface="Arial"/>
            </a:rPr>
            <a:t>Kwh</a:t>
          </a:r>
        </a:p>
        <a:p xmlns:a="http://schemas.openxmlformats.org/drawingml/2006/main">
          <a:pPr algn="ctr" rtl="0">
            <a:defRPr sz="1000"/>
          </a:pPr>
          <a:endParaRPr lang="en-US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ctr" rtl="0">
            <a:defRPr sz="1000"/>
          </a:pPr>
          <a:endParaRPr lang="en-US" sz="1000" b="0" i="0" strike="noStrike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0.584</cdr:x>
      <cdr:y>0.13</cdr:y>
    </cdr:from>
    <cdr:to>
      <cdr:x>0.73125</cdr:x>
      <cdr:y>0.1595</cdr:y>
    </cdr:to>
    <cdr:sp macro="" textlink="">
      <cdr:nvSpPr>
        <cdr:cNvPr id="1033" name="Text 9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989652" y="756571"/>
          <a:ext cx="1258093" cy="17168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22860" rIns="27432" bIns="22860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endParaRPr lang="en-US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ctr" rtl="0">
            <a:defRPr sz="1000"/>
          </a:pPr>
          <a:endParaRPr lang="en-US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ctr" rtl="0">
            <a:defRPr sz="1000"/>
          </a:pPr>
          <a:r>
            <a:rPr lang="en-US" sz="1000" b="0" i="0" strike="noStrike">
              <a:solidFill>
                <a:srgbClr val="000000"/>
              </a:solidFill>
              <a:latin typeface="Arial"/>
              <a:cs typeface="Arial"/>
            </a:rPr>
            <a:t>12,117,900Kwh</a:t>
          </a:r>
        </a:p>
        <a:p xmlns:a="http://schemas.openxmlformats.org/drawingml/2006/main">
          <a:pPr algn="ctr" rtl="0">
            <a:defRPr sz="1000"/>
          </a:pPr>
          <a:endParaRPr lang="en-US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ctr" rtl="0">
            <a:defRPr sz="1000"/>
          </a:pPr>
          <a:endParaRPr lang="en-US" sz="1000" b="0" i="0" strike="noStrike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564880" cy="582168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0.06243</cdr:x>
      <cdr:y>0.04875</cdr:y>
    </cdr:from>
    <cdr:to>
      <cdr:x>0.939</cdr:x>
      <cdr:y>0.16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33397" y="283714"/>
          <a:ext cx="7489349" cy="64745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36576" tIns="27432" rIns="36576" bIns="27432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sz="1400" b="1" i="0" strike="noStrike">
              <a:solidFill>
                <a:srgbClr val="000000"/>
              </a:solidFill>
              <a:latin typeface="Arial"/>
              <a:cs typeface="Arial"/>
            </a:rPr>
            <a:t>3 YEAR ELECTRICAL COST/CONSUMPTION COMPARISON</a:t>
          </a:r>
        </a:p>
      </cdr:txBody>
    </cdr:sp>
  </cdr:relSizeAnchor>
</c:userShapes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8656320" cy="627888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0.22375</cdr:x>
      <cdr:y>0.02125</cdr:y>
    </cdr:from>
    <cdr:to>
      <cdr:x>0.8335</cdr:x>
      <cdr:y>0.11125</cdr:y>
    </cdr:to>
    <cdr:sp macro="" textlink="">
      <cdr:nvSpPr>
        <cdr:cNvPr id="51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911703" y="123670"/>
          <a:ext cx="5209658" cy="52378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36576" tIns="27432" rIns="36576" bIns="27432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sz="1400" b="1" i="0" strike="noStrike">
              <a:solidFill>
                <a:srgbClr val="000000"/>
              </a:solidFill>
              <a:latin typeface="Arial"/>
              <a:cs typeface="Arial"/>
            </a:rPr>
            <a:t>3 YEAR BTU/COST COMPARISON</a:t>
          </a:r>
          <a:endParaRPr lang="en-US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ctr" rtl="0">
            <a:defRPr sz="1000"/>
          </a:pPr>
          <a:endParaRPr lang="en-US" sz="1000" b="0" i="0" strike="noStrike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0.88397</cdr:x>
      <cdr:y>0.10046</cdr:y>
    </cdr:from>
    <cdr:to>
      <cdr:x>0.91933</cdr:x>
      <cdr:y>0.22367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7619675" y="607646"/>
          <a:ext cx="304800" cy="74531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eaVert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0.9373</cdr:x>
      <cdr:y>0.43777</cdr:y>
    </cdr:from>
    <cdr:to>
      <cdr:x>0.98919</cdr:x>
      <cdr:y>0.58894</cdr:y>
    </cdr:to>
    <cdr:sp macro="" textlink="">
      <cdr:nvSpPr>
        <cdr:cNvPr id="4" name="TextBox 3"/>
        <cdr:cNvSpPr txBox="1"/>
      </cdr:nvSpPr>
      <cdr:spPr>
        <a:xfrm xmlns:a="http://schemas.openxmlformats.org/drawingml/2006/main" rot="10800000">
          <a:off x="8258175" y="2647950"/>
          <a:ext cx="4572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eaVert" wrap="none" rtlCol="0"/>
        <a:lstStyle xmlns:a="http://schemas.openxmlformats.org/drawingml/2006/main"/>
        <a:p xmlns:a="http://schemas.openxmlformats.org/drawingml/2006/main">
          <a:r>
            <a:rPr lang="en-US" sz="1100" b="1">
              <a:latin typeface="Arial" pitchFamily="34" charset="0"/>
              <a:cs typeface="Arial" pitchFamily="34" charset="0"/>
            </a:rPr>
            <a:t>BIL Btus</a:t>
          </a:r>
        </a:p>
      </cdr:txBody>
    </cdr:sp>
  </cdr:relSizeAnchor>
  <cdr:relSizeAnchor xmlns:cdr="http://schemas.openxmlformats.org/drawingml/2006/chartDrawing">
    <cdr:from>
      <cdr:x>0.43243</cdr:x>
      <cdr:y>0.91497</cdr:y>
    </cdr:from>
    <cdr:to>
      <cdr:x>0.53622</cdr:x>
      <cdr:y>0.96686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3810000" y="5534432"/>
          <a:ext cx="914400" cy="31391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100" b="1">
              <a:latin typeface="Arial" pitchFamily="34" charset="0"/>
              <a:ea typeface="+mn-ea"/>
              <a:cs typeface="Arial" pitchFamily="34" charset="0"/>
            </a:rPr>
            <a:t>MONTH</a:t>
          </a:r>
        </a:p>
      </cdr:txBody>
    </cdr:sp>
  </cdr:relSizeAnchor>
</c:userShapes>
</file>

<file path=xl/drawings/drawing7.xml><?xml version="1.0" encoding="utf-8"?>
<xdr:wsDr xmlns:xdr="http://schemas.openxmlformats.org/drawingml/2006/spreadsheetDrawing" xmlns:a="http://schemas.openxmlformats.org/drawingml/2006/main">
  <xdr:absoluteAnchor>
    <xdr:pos x="0" y="0"/>
    <xdr:ext cx="8564880" cy="582168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8.xml><?xml version="1.0" encoding="utf-8"?>
<xdr:wsDr xmlns:xdr="http://schemas.openxmlformats.org/drawingml/2006/spreadsheetDrawing" xmlns:a="http://schemas.openxmlformats.org/drawingml/2006/main">
  <xdr:absoluteAnchor>
    <xdr:pos x="0" y="0"/>
    <xdr:ext cx="8564880" cy="582168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9.xml><?xml version="1.0" encoding="utf-8"?>
<xdr:wsDr xmlns:xdr="http://schemas.openxmlformats.org/drawingml/2006/spreadsheetDrawing" xmlns:a="http://schemas.openxmlformats.org/drawingml/2006/main">
  <xdr:absoluteAnchor>
    <xdr:pos x="0" y="0"/>
    <xdr:ext cx="8564880" cy="582168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14</xdr:col>
      <xdr:colOff>266700</xdr:colOff>
      <xdr:row>36</xdr:row>
      <xdr:rowOff>9525</xdr:rowOff>
    </xdr:to>
    <xdr:graphicFrame macro="">
      <xdr:nvGraphicFramePr>
        <xdr:cNvPr id="7229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absoluteAnchor>
    <xdr:pos x="0" y="0"/>
    <xdr:ext cx="9022080" cy="719328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95250</xdr:rowOff>
    </xdr:from>
    <xdr:to>
      <xdr:col>14</xdr:col>
      <xdr:colOff>142875</xdr:colOff>
      <xdr:row>41</xdr:row>
      <xdr:rowOff>104775</xdr:rowOff>
    </xdr:to>
    <xdr:graphicFrame macro="">
      <xdr:nvGraphicFramePr>
        <xdr:cNvPr id="10301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14</xdr:col>
      <xdr:colOff>123825</xdr:colOff>
      <xdr:row>36</xdr:row>
      <xdr:rowOff>85725</xdr:rowOff>
    </xdr:to>
    <xdr:graphicFrame macro="">
      <xdr:nvGraphicFramePr>
        <xdr:cNvPr id="12349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2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25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26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sheet1.xml><?xml version="1.0" encoding="utf-8"?>
<worksheet xmlns="http://schemas.openxmlformats.org/spreadsheetml/2006/main" xmlns:r="http://schemas.openxmlformats.org/officeDocument/2006/relationships">
  <sheetPr syncVertical="1" syncRef="A1" transitionEvaluation="1" codeName="Sheet1">
    <pageSetUpPr fitToPage="1"/>
  </sheetPr>
  <dimension ref="A1:Q107"/>
  <sheetViews>
    <sheetView showGridLines="0" zoomScale="90" zoomScaleNormal="90" zoomScaleSheetLayoutView="100" workbookViewId="0">
      <selection activeCell="L30" sqref="L30"/>
    </sheetView>
  </sheetViews>
  <sheetFormatPr defaultColWidth="20.28515625" defaultRowHeight="12"/>
  <cols>
    <col min="1" max="1" width="27.5703125" style="104" customWidth="1"/>
    <col min="2" max="2" width="18.85546875" style="104" bestFit="1" customWidth="1"/>
    <col min="3" max="3" width="12" style="104" bestFit="1" customWidth="1"/>
    <col min="4" max="4" width="13.28515625" style="104" bestFit="1" customWidth="1"/>
    <col min="5" max="8" width="12" style="104" bestFit="1" customWidth="1"/>
    <col min="9" max="9" width="12.7109375" style="104" bestFit="1" customWidth="1"/>
    <col min="10" max="14" width="12" style="104" bestFit="1" customWidth="1"/>
    <col min="15" max="15" width="15.42578125" style="104" bestFit="1" customWidth="1"/>
    <col min="16" max="20" width="20.28515625" style="104" customWidth="1"/>
    <col min="21" max="21" width="20.28515625" style="104"/>
    <col min="22" max="22" width="42.140625" style="104" customWidth="1"/>
    <col min="23" max="28" width="20.28515625" style="104"/>
    <col min="29" max="29" width="42.140625" style="104" customWidth="1"/>
    <col min="30" max="35" width="20.28515625" style="104"/>
    <col min="36" max="36" width="42.140625" style="104" customWidth="1"/>
    <col min="37" max="42" width="20.28515625" style="104"/>
    <col min="43" max="43" width="42.140625" style="104" customWidth="1"/>
    <col min="44" max="49" width="20.28515625" style="104"/>
    <col min="50" max="50" width="42.140625" style="104" customWidth="1"/>
    <col min="51" max="56" width="20.28515625" style="104"/>
    <col min="57" max="57" width="42.140625" style="104" customWidth="1"/>
    <col min="58" max="63" width="20.28515625" style="104"/>
    <col min="64" max="64" width="42.140625" style="104" customWidth="1"/>
    <col min="65" max="16384" width="20.28515625" style="104"/>
  </cols>
  <sheetData>
    <row r="1" spans="1:17" s="146" customFormat="1" ht="15.75">
      <c r="A1" s="481" t="s">
        <v>503</v>
      </c>
      <c r="B1" s="482"/>
      <c r="C1" s="483"/>
      <c r="D1" s="483"/>
      <c r="E1" s="483"/>
      <c r="F1" s="483"/>
      <c r="G1" s="483"/>
      <c r="H1" s="483"/>
      <c r="I1" s="483"/>
      <c r="J1" s="483"/>
      <c r="K1" s="483"/>
      <c r="L1" s="483"/>
      <c r="M1" s="484"/>
      <c r="N1" s="483"/>
      <c r="O1" s="483"/>
    </row>
    <row r="2" spans="1:17" s="146" customFormat="1" ht="15.75">
      <c r="A2" s="481"/>
      <c r="B2" s="482"/>
      <c r="C2" s="483"/>
      <c r="D2" s="483"/>
      <c r="E2" s="483"/>
      <c r="F2" s="483"/>
      <c r="G2" s="483"/>
      <c r="H2" s="483"/>
      <c r="I2" s="483"/>
      <c r="J2" s="483"/>
      <c r="K2" s="483"/>
      <c r="L2" s="483"/>
      <c r="M2" s="484"/>
      <c r="N2" s="483"/>
      <c r="O2" s="483"/>
    </row>
    <row r="3" spans="1:17" s="466" customFormat="1" ht="15.75">
      <c r="A3" s="485"/>
      <c r="B3" s="485"/>
      <c r="C3" s="486" t="s">
        <v>53</v>
      </c>
      <c r="D3" s="487" t="s">
        <v>54</v>
      </c>
      <c r="E3" s="487" t="s">
        <v>55</v>
      </c>
      <c r="F3" s="487" t="s">
        <v>3</v>
      </c>
      <c r="G3" s="487" t="s">
        <v>4</v>
      </c>
      <c r="H3" s="487" t="s">
        <v>5</v>
      </c>
      <c r="I3" s="487" t="s">
        <v>6</v>
      </c>
      <c r="J3" s="487" t="s">
        <v>7</v>
      </c>
      <c r="K3" s="487" t="s">
        <v>8</v>
      </c>
      <c r="L3" s="487" t="s">
        <v>62</v>
      </c>
      <c r="M3" s="487" t="s">
        <v>63</v>
      </c>
      <c r="N3" s="487" t="s">
        <v>11</v>
      </c>
      <c r="O3" s="488" t="s">
        <v>12</v>
      </c>
      <c r="Q3" s="465"/>
    </row>
    <row r="4" spans="1:17" s="468" customFormat="1" ht="15.75">
      <c r="A4" s="489" t="s">
        <v>14</v>
      </c>
      <c r="B4" s="490" t="s">
        <v>290</v>
      </c>
      <c r="C4" s="491">
        <v>0</v>
      </c>
      <c r="D4" s="491">
        <v>0</v>
      </c>
      <c r="E4" s="491">
        <v>0</v>
      </c>
      <c r="F4" s="491">
        <v>622</v>
      </c>
      <c r="G4" s="491">
        <v>6898</v>
      </c>
      <c r="H4" s="491">
        <v>9891</v>
      </c>
      <c r="I4" s="491">
        <v>13579</v>
      </c>
      <c r="J4" s="491">
        <v>14777</v>
      </c>
      <c r="K4" s="491">
        <v>10241</v>
      </c>
      <c r="L4" s="491">
        <v>10533</v>
      </c>
      <c r="M4" s="491">
        <v>8624</v>
      </c>
      <c r="N4" s="491">
        <v>2745</v>
      </c>
      <c r="O4" s="492">
        <f>SUM(C4:N4)</f>
        <v>77910</v>
      </c>
      <c r="P4" s="467"/>
      <c r="Q4" s="467"/>
    </row>
    <row r="5" spans="1:17" s="470" customFormat="1" ht="15.75">
      <c r="A5" s="493"/>
      <c r="B5" s="494" t="s">
        <v>15</v>
      </c>
      <c r="C5" s="495">
        <v>311.17</v>
      </c>
      <c r="D5" s="495">
        <v>311.17</v>
      </c>
      <c r="E5" s="495">
        <v>311.17</v>
      </c>
      <c r="F5" s="495">
        <v>2573</v>
      </c>
      <c r="G5" s="495">
        <v>28322</v>
      </c>
      <c r="H5" s="495">
        <v>46004.53</v>
      </c>
      <c r="I5" s="495">
        <v>63048</v>
      </c>
      <c r="J5" s="495">
        <v>63343</v>
      </c>
      <c r="K5" s="495">
        <v>43982</v>
      </c>
      <c r="L5" s="495">
        <v>45910</v>
      </c>
      <c r="M5" s="495">
        <v>43192</v>
      </c>
      <c r="N5" s="495">
        <v>14660</v>
      </c>
      <c r="O5" s="496">
        <f>SUM(C5:N5)</f>
        <v>351968.04000000004</v>
      </c>
      <c r="P5" s="469"/>
      <c r="Q5" s="469"/>
    </row>
    <row r="6" spans="1:17" s="472" customFormat="1" ht="15.75">
      <c r="A6" s="497"/>
      <c r="B6" s="498" t="s">
        <v>16</v>
      </c>
      <c r="C6" s="499">
        <v>0</v>
      </c>
      <c r="D6" s="499">
        <v>0</v>
      </c>
      <c r="E6" s="499">
        <v>0</v>
      </c>
      <c r="F6" s="499">
        <f t="shared" ref="F6:O6" si="0">(F5/F4)</f>
        <v>4.136655948553055</v>
      </c>
      <c r="G6" s="499">
        <f t="shared" si="0"/>
        <v>4.105827776167005</v>
      </c>
      <c r="H6" s="499">
        <f t="shared" si="0"/>
        <v>4.6511505408957641</v>
      </c>
      <c r="I6" s="499">
        <f t="shared" si="0"/>
        <v>4.6430517711171664</v>
      </c>
      <c r="J6" s="499">
        <f t="shared" si="0"/>
        <v>4.2865940312648032</v>
      </c>
      <c r="K6" s="499">
        <f t="shared" si="0"/>
        <v>4.2946977834195881</v>
      </c>
      <c r="L6" s="499">
        <f t="shared" si="0"/>
        <v>4.3586822367796447</v>
      </c>
      <c r="M6" s="499">
        <f t="shared" si="0"/>
        <v>5.00834879406308</v>
      </c>
      <c r="N6" s="499">
        <f t="shared" si="0"/>
        <v>5.3406193078324229</v>
      </c>
      <c r="O6" s="500">
        <f t="shared" si="0"/>
        <v>4.5176234116288025</v>
      </c>
      <c r="P6" s="471"/>
      <c r="Q6" s="471"/>
    </row>
    <row r="7" spans="1:17" s="468" customFormat="1" ht="15.75">
      <c r="A7" s="493"/>
      <c r="B7" s="490" t="s">
        <v>291</v>
      </c>
      <c r="C7" s="491">
        <f>(C4*100000)/1000</f>
        <v>0</v>
      </c>
      <c r="D7" s="491">
        <f>(D4*100000)/1000</f>
        <v>0</v>
      </c>
      <c r="E7" s="491">
        <f>(E4*100000)/1000</f>
        <v>0</v>
      </c>
      <c r="F7" s="491">
        <f>(F4*1000)</f>
        <v>622000</v>
      </c>
      <c r="G7" s="491">
        <f>(G4*1000)</f>
        <v>6898000</v>
      </c>
      <c r="H7" s="491">
        <f>(H4*1000)</f>
        <v>9891000</v>
      </c>
      <c r="I7" s="491">
        <f>I4*1000</f>
        <v>13579000</v>
      </c>
      <c r="J7" s="491">
        <f>(J4*1000000)/1000</f>
        <v>14777000</v>
      </c>
      <c r="K7" s="491">
        <f>(K4*1000000)/1000</f>
        <v>10241000</v>
      </c>
      <c r="L7" s="491">
        <f>(L4*1000000)/1000</f>
        <v>10533000</v>
      </c>
      <c r="M7" s="491">
        <f>(M4*1000000)/1000</f>
        <v>8624000</v>
      </c>
      <c r="N7" s="491">
        <f>(N4*1000000)/1000</f>
        <v>2745000</v>
      </c>
      <c r="O7" s="492">
        <f>(O4*1000)</f>
        <v>77910000</v>
      </c>
      <c r="P7" s="467"/>
      <c r="Q7" s="467"/>
    </row>
    <row r="8" spans="1:17" s="146" customFormat="1" ht="15.75">
      <c r="A8" s="493"/>
      <c r="B8" s="489"/>
      <c r="C8" s="501"/>
      <c r="D8" s="501"/>
      <c r="E8" s="501"/>
      <c r="F8" s="501"/>
      <c r="G8" s="501"/>
      <c r="H8" s="501"/>
      <c r="I8" s="501"/>
      <c r="J8" s="501"/>
      <c r="K8" s="501"/>
      <c r="L8" s="501"/>
      <c r="M8" s="501"/>
      <c r="N8" s="501"/>
      <c r="O8" s="502"/>
      <c r="P8" s="473"/>
      <c r="Q8" s="473"/>
    </row>
    <row r="9" spans="1:17" s="468" customFormat="1" ht="15.75">
      <c r="A9" s="493" t="s">
        <v>17</v>
      </c>
      <c r="B9" s="490" t="s">
        <v>18</v>
      </c>
      <c r="C9" s="491">
        <v>0</v>
      </c>
      <c r="D9" s="491">
        <v>0</v>
      </c>
      <c r="E9" s="491">
        <v>0</v>
      </c>
      <c r="F9" s="491">
        <v>0</v>
      </c>
      <c r="G9" s="491">
        <v>0</v>
      </c>
      <c r="H9" s="491">
        <v>0</v>
      </c>
      <c r="I9" s="491">
        <v>0</v>
      </c>
      <c r="J9" s="491">
        <v>0</v>
      </c>
      <c r="K9" s="491">
        <v>0</v>
      </c>
      <c r="L9" s="491">
        <v>0</v>
      </c>
      <c r="M9" s="491">
        <v>0</v>
      </c>
      <c r="N9" s="491">
        <v>0</v>
      </c>
      <c r="O9" s="492">
        <f>SUM(C9:N9)</f>
        <v>0</v>
      </c>
      <c r="P9" s="467"/>
      <c r="Q9" s="467"/>
    </row>
    <row r="10" spans="1:17" s="470" customFormat="1" ht="15.75">
      <c r="A10" s="493"/>
      <c r="B10" s="494" t="s">
        <v>15</v>
      </c>
      <c r="C10" s="495">
        <f t="shared" ref="C10:H10" si="1">C9*C11</f>
        <v>0</v>
      </c>
      <c r="D10" s="495">
        <f t="shared" si="1"/>
        <v>0</v>
      </c>
      <c r="E10" s="495">
        <f t="shared" si="1"/>
        <v>0</v>
      </c>
      <c r="F10" s="495">
        <f t="shared" si="1"/>
        <v>0</v>
      </c>
      <c r="G10" s="495">
        <f t="shared" si="1"/>
        <v>0</v>
      </c>
      <c r="H10" s="495">
        <f t="shared" si="1"/>
        <v>0</v>
      </c>
      <c r="I10" s="495">
        <f t="shared" ref="I10:N10" si="2">I9*I11</f>
        <v>0</v>
      </c>
      <c r="J10" s="495">
        <f t="shared" si="2"/>
        <v>0</v>
      </c>
      <c r="K10" s="495">
        <f t="shared" si="2"/>
        <v>0</v>
      </c>
      <c r="L10" s="495">
        <f t="shared" si="2"/>
        <v>0</v>
      </c>
      <c r="M10" s="495">
        <f t="shared" si="2"/>
        <v>0</v>
      </c>
      <c r="N10" s="495">
        <f t="shared" si="2"/>
        <v>0</v>
      </c>
      <c r="O10" s="496">
        <f>SUM(C10:N10)</f>
        <v>0</v>
      </c>
      <c r="P10" s="469"/>
      <c r="Q10" s="469"/>
    </row>
    <row r="11" spans="1:17" s="472" customFormat="1" ht="15.75">
      <c r="A11" s="493"/>
      <c r="B11" s="498" t="s">
        <v>16</v>
      </c>
      <c r="C11" s="503">
        <v>0</v>
      </c>
      <c r="D11" s="503">
        <v>0</v>
      </c>
      <c r="E11" s="503">
        <v>0</v>
      </c>
      <c r="F11" s="503">
        <v>0</v>
      </c>
      <c r="G11" s="503">
        <v>0</v>
      </c>
      <c r="H11" s="503">
        <v>0</v>
      </c>
      <c r="I11" s="503">
        <v>0</v>
      </c>
      <c r="J11" s="503">
        <v>0</v>
      </c>
      <c r="K11" s="503">
        <v>0</v>
      </c>
      <c r="L11" s="503">
        <v>0</v>
      </c>
      <c r="M11" s="503">
        <v>0</v>
      </c>
      <c r="N11" s="503">
        <v>0</v>
      </c>
      <c r="O11" s="504">
        <v>0</v>
      </c>
      <c r="P11" s="471"/>
      <c r="Q11" s="471"/>
    </row>
    <row r="12" spans="1:17" s="468" customFormat="1" ht="15.75">
      <c r="A12" s="493"/>
      <c r="B12" s="490" t="s">
        <v>174</v>
      </c>
      <c r="C12" s="505">
        <f t="shared" ref="C12:L12" si="3">(C9*138000)/1000</f>
        <v>0</v>
      </c>
      <c r="D12" s="505">
        <f t="shared" si="3"/>
        <v>0</v>
      </c>
      <c r="E12" s="505">
        <f t="shared" si="3"/>
        <v>0</v>
      </c>
      <c r="F12" s="505">
        <f t="shared" si="3"/>
        <v>0</v>
      </c>
      <c r="G12" s="505">
        <f t="shared" si="3"/>
        <v>0</v>
      </c>
      <c r="H12" s="505">
        <f t="shared" si="3"/>
        <v>0</v>
      </c>
      <c r="I12" s="505">
        <f t="shared" si="3"/>
        <v>0</v>
      </c>
      <c r="J12" s="505">
        <f t="shared" si="3"/>
        <v>0</v>
      </c>
      <c r="K12" s="505">
        <f t="shared" si="3"/>
        <v>0</v>
      </c>
      <c r="L12" s="505">
        <f t="shared" si="3"/>
        <v>0</v>
      </c>
      <c r="M12" s="505">
        <f>(M9*138000)/1000</f>
        <v>0</v>
      </c>
      <c r="N12" s="505">
        <f>(N9*138000)/1000</f>
        <v>0</v>
      </c>
      <c r="O12" s="506">
        <f>SUM(C12:N12)</f>
        <v>0</v>
      </c>
      <c r="P12" s="467"/>
      <c r="Q12" s="467"/>
    </row>
    <row r="13" spans="1:17" s="146" customFormat="1" ht="15.75">
      <c r="A13" s="493"/>
      <c r="B13" s="489"/>
      <c r="C13" s="507"/>
      <c r="D13" s="507"/>
      <c r="E13" s="507"/>
      <c r="F13" s="507"/>
      <c r="G13" s="507"/>
      <c r="H13" s="507"/>
      <c r="I13" s="507"/>
      <c r="J13" s="507"/>
      <c r="K13" s="507"/>
      <c r="L13" s="507"/>
      <c r="M13" s="507"/>
      <c r="N13" s="507"/>
      <c r="O13" s="508"/>
      <c r="P13" s="474"/>
      <c r="Q13" s="473"/>
    </row>
    <row r="14" spans="1:17" s="468" customFormat="1" ht="15.75">
      <c r="A14" s="489" t="s">
        <v>19</v>
      </c>
      <c r="B14" s="490" t="s">
        <v>18</v>
      </c>
      <c r="C14" s="491">
        <v>0</v>
      </c>
      <c r="D14" s="491">
        <v>0</v>
      </c>
      <c r="E14" s="491">
        <v>0</v>
      </c>
      <c r="F14" s="491">
        <v>0</v>
      </c>
      <c r="G14" s="491">
        <v>0</v>
      </c>
      <c r="H14" s="491">
        <v>0</v>
      </c>
      <c r="I14" s="491">
        <v>0</v>
      </c>
      <c r="J14" s="491">
        <v>0</v>
      </c>
      <c r="K14" s="491">
        <v>11098</v>
      </c>
      <c r="L14" s="491">
        <v>18234</v>
      </c>
      <c r="M14" s="491">
        <v>0</v>
      </c>
      <c r="N14" s="491">
        <v>0</v>
      </c>
      <c r="O14" s="492">
        <f>SUM(C14:N14)</f>
        <v>29332</v>
      </c>
      <c r="P14" s="467"/>
      <c r="Q14" s="467"/>
    </row>
    <row r="15" spans="1:17" s="470" customFormat="1" ht="15.75">
      <c r="A15" s="493"/>
      <c r="B15" s="494" t="s">
        <v>15</v>
      </c>
      <c r="C15" s="495">
        <f>C14*C16</f>
        <v>0</v>
      </c>
      <c r="D15" s="495">
        <f>D14*D16</f>
        <v>0</v>
      </c>
      <c r="E15" s="495">
        <f>E14*E16</f>
        <v>0</v>
      </c>
      <c r="F15" s="495">
        <f>F14*F16</f>
        <v>0</v>
      </c>
      <c r="G15" s="495">
        <f>G14*G16</f>
        <v>0</v>
      </c>
      <c r="H15" s="495">
        <f t="shared" ref="H15:N15" si="4">H14*H16</f>
        <v>0</v>
      </c>
      <c r="I15" s="495">
        <f t="shared" si="4"/>
        <v>0</v>
      </c>
      <c r="J15" s="495">
        <f t="shared" si="4"/>
        <v>0</v>
      </c>
      <c r="K15" s="495">
        <v>16314</v>
      </c>
      <c r="L15" s="495">
        <v>25527</v>
      </c>
      <c r="M15" s="495">
        <f t="shared" si="4"/>
        <v>0</v>
      </c>
      <c r="N15" s="495">
        <f t="shared" si="4"/>
        <v>0</v>
      </c>
      <c r="O15" s="496">
        <f>SUM(C15:N15)</f>
        <v>41841</v>
      </c>
      <c r="P15" s="469"/>
      <c r="Q15" s="469"/>
    </row>
    <row r="16" spans="1:17" s="472" customFormat="1" ht="15.75">
      <c r="A16" s="493"/>
      <c r="B16" s="498" t="s">
        <v>16</v>
      </c>
      <c r="C16" s="509">
        <v>0</v>
      </c>
      <c r="D16" s="509">
        <v>0</v>
      </c>
      <c r="E16" s="509">
        <v>0</v>
      </c>
      <c r="F16" s="509">
        <v>0</v>
      </c>
      <c r="G16" s="509">
        <v>0</v>
      </c>
      <c r="H16" s="509">
        <v>0</v>
      </c>
      <c r="I16" s="509">
        <v>0</v>
      </c>
      <c r="J16" s="509">
        <v>0</v>
      </c>
      <c r="K16" s="509">
        <f>K15/K14</f>
        <v>1.4699945936204721</v>
      </c>
      <c r="L16" s="509">
        <f>L15/L14</f>
        <v>1.3999670944389602</v>
      </c>
      <c r="M16" s="509">
        <v>0</v>
      </c>
      <c r="N16" s="509">
        <v>0</v>
      </c>
      <c r="O16" s="510">
        <v>0</v>
      </c>
      <c r="P16" s="471"/>
      <c r="Q16" s="471"/>
    </row>
    <row r="17" spans="1:17" s="468" customFormat="1" ht="15.75">
      <c r="A17" s="493"/>
      <c r="B17" s="490" t="s">
        <v>174</v>
      </c>
      <c r="C17" s="491">
        <f>(C14*150000)/1000</f>
        <v>0</v>
      </c>
      <c r="D17" s="491">
        <f t="shared" ref="D17:N17" si="5">(D14*150000)/1000</f>
        <v>0</v>
      </c>
      <c r="E17" s="491">
        <f t="shared" si="5"/>
        <v>0</v>
      </c>
      <c r="F17" s="491">
        <f t="shared" si="5"/>
        <v>0</v>
      </c>
      <c r="G17" s="491">
        <f t="shared" si="5"/>
        <v>0</v>
      </c>
      <c r="H17" s="491">
        <f t="shared" si="5"/>
        <v>0</v>
      </c>
      <c r="I17" s="491">
        <f t="shared" si="5"/>
        <v>0</v>
      </c>
      <c r="J17" s="491">
        <f t="shared" si="5"/>
        <v>0</v>
      </c>
      <c r="K17" s="491">
        <f t="shared" si="5"/>
        <v>1664700</v>
      </c>
      <c r="L17" s="491">
        <f t="shared" si="5"/>
        <v>2735100</v>
      </c>
      <c r="M17" s="491">
        <f t="shared" si="5"/>
        <v>0</v>
      </c>
      <c r="N17" s="491">
        <f t="shared" si="5"/>
        <v>0</v>
      </c>
      <c r="O17" s="492">
        <f>SUM(C17:N17)</f>
        <v>4399800</v>
      </c>
      <c r="P17" s="467"/>
      <c r="Q17" s="467"/>
    </row>
    <row r="18" spans="1:17" s="146" customFormat="1" ht="15.75">
      <c r="A18" s="493"/>
      <c r="B18" s="489"/>
      <c r="C18" s="511"/>
      <c r="D18" s="511"/>
      <c r="E18" s="511"/>
      <c r="F18" s="511"/>
      <c r="G18" s="511"/>
      <c r="H18" s="511"/>
      <c r="I18" s="511"/>
      <c r="J18" s="511"/>
      <c r="K18" s="511"/>
      <c r="L18" s="511"/>
      <c r="M18" s="511"/>
      <c r="N18" s="511"/>
      <c r="O18" s="512"/>
      <c r="P18" s="475"/>
      <c r="Q18" s="147"/>
    </row>
    <row r="19" spans="1:17" s="468" customFormat="1" ht="15.75">
      <c r="A19" s="489" t="s">
        <v>138</v>
      </c>
      <c r="B19" s="490" t="s">
        <v>292</v>
      </c>
      <c r="C19" s="491">
        <f>SUM(C7+C12+C17)</f>
        <v>0</v>
      </c>
      <c r="D19" s="491">
        <f>SUM(D7+D12+D17)</f>
        <v>0</v>
      </c>
      <c r="E19" s="491">
        <f t="shared" ref="E19:N19" si="6">SUM(E7+E12+E17)</f>
        <v>0</v>
      </c>
      <c r="F19" s="491">
        <f t="shared" si="6"/>
        <v>622000</v>
      </c>
      <c r="G19" s="491">
        <f t="shared" si="6"/>
        <v>6898000</v>
      </c>
      <c r="H19" s="491">
        <f t="shared" si="6"/>
        <v>9891000</v>
      </c>
      <c r="I19" s="491">
        <f>SUM(I7+I12+I17)</f>
        <v>13579000</v>
      </c>
      <c r="J19" s="491">
        <f>SUM(J7+J12+J17)</f>
        <v>14777000</v>
      </c>
      <c r="K19" s="491">
        <f t="shared" si="6"/>
        <v>11905700</v>
      </c>
      <c r="L19" s="491">
        <f t="shared" si="6"/>
        <v>13268100</v>
      </c>
      <c r="M19" s="491">
        <f t="shared" si="6"/>
        <v>8624000</v>
      </c>
      <c r="N19" s="491">
        <f t="shared" si="6"/>
        <v>2745000</v>
      </c>
      <c r="O19" s="492">
        <f>SUM(C19:N19)</f>
        <v>82309800</v>
      </c>
      <c r="P19" s="467"/>
      <c r="Q19" s="467"/>
    </row>
    <row r="20" spans="1:17" s="470" customFormat="1" ht="15.75">
      <c r="A20" s="493" t="s">
        <v>137</v>
      </c>
      <c r="B20" s="513"/>
      <c r="C20" s="514">
        <f t="shared" ref="C20:M20" si="7">SUM(C5+C10+C15)</f>
        <v>311.17</v>
      </c>
      <c r="D20" s="514">
        <f t="shared" si="7"/>
        <v>311.17</v>
      </c>
      <c r="E20" s="514">
        <f t="shared" si="7"/>
        <v>311.17</v>
      </c>
      <c r="F20" s="514">
        <f t="shared" si="7"/>
        <v>2573</v>
      </c>
      <c r="G20" s="514">
        <f t="shared" si="7"/>
        <v>28322</v>
      </c>
      <c r="H20" s="514">
        <f t="shared" si="7"/>
        <v>46004.53</v>
      </c>
      <c r="I20" s="514">
        <f t="shared" si="7"/>
        <v>63048</v>
      </c>
      <c r="J20" s="514">
        <f t="shared" si="7"/>
        <v>63343</v>
      </c>
      <c r="K20" s="514">
        <f t="shared" si="7"/>
        <v>60296</v>
      </c>
      <c r="L20" s="514">
        <f t="shared" si="7"/>
        <v>71437</v>
      </c>
      <c r="M20" s="514">
        <f t="shared" si="7"/>
        <v>43192</v>
      </c>
      <c r="N20" s="514">
        <f>SUM(N5+N10+N15)</f>
        <v>14660</v>
      </c>
      <c r="O20" s="500">
        <f>SUM(C20:N20)</f>
        <v>393809.04000000004</v>
      </c>
      <c r="P20" s="476"/>
      <c r="Q20" s="469"/>
    </row>
    <row r="21" spans="1:17" s="146" customFormat="1" ht="15.75">
      <c r="A21" s="493"/>
      <c r="B21" s="493"/>
      <c r="C21" s="483"/>
      <c r="D21" s="483"/>
      <c r="E21" s="483"/>
      <c r="F21" s="483"/>
      <c r="G21" s="483"/>
      <c r="H21" s="483"/>
      <c r="I21" s="483"/>
      <c r="J21" s="483"/>
      <c r="K21" s="483"/>
      <c r="L21" s="483"/>
      <c r="M21" s="483"/>
      <c r="N21" s="483"/>
      <c r="O21" s="493"/>
      <c r="P21" s="147"/>
      <c r="Q21" s="475"/>
    </row>
    <row r="22" spans="1:17" s="468" customFormat="1" ht="15.75">
      <c r="A22" s="489" t="s">
        <v>20</v>
      </c>
      <c r="B22" s="490" t="s">
        <v>21</v>
      </c>
      <c r="C22" s="491">
        <v>739200</v>
      </c>
      <c r="D22" s="491">
        <v>850500</v>
      </c>
      <c r="E22" s="491">
        <v>688800</v>
      </c>
      <c r="F22" s="491">
        <v>907200</v>
      </c>
      <c r="G22" s="491">
        <v>915600</v>
      </c>
      <c r="H22" s="491">
        <v>1026900</v>
      </c>
      <c r="I22" s="491">
        <v>1047900</v>
      </c>
      <c r="J22" s="491">
        <v>945000</v>
      </c>
      <c r="K22" s="491">
        <v>1043700</v>
      </c>
      <c r="L22" s="491">
        <v>957600</v>
      </c>
      <c r="M22" s="491">
        <v>995400</v>
      </c>
      <c r="N22" s="491">
        <v>816900</v>
      </c>
      <c r="O22" s="492">
        <f>SUM(C22:N22)</f>
        <v>10934700</v>
      </c>
      <c r="P22" s="467"/>
      <c r="Q22" s="467"/>
    </row>
    <row r="23" spans="1:17" s="468" customFormat="1" ht="15.75">
      <c r="A23" s="515" t="s">
        <v>491</v>
      </c>
      <c r="B23" s="490" t="s">
        <v>22</v>
      </c>
      <c r="C23" s="491">
        <v>30</v>
      </c>
      <c r="D23" s="491">
        <v>32</v>
      </c>
      <c r="E23" s="491">
        <v>28</v>
      </c>
      <c r="F23" s="491">
        <v>31</v>
      </c>
      <c r="G23" s="491">
        <v>29</v>
      </c>
      <c r="H23" s="491">
        <v>33</v>
      </c>
      <c r="I23" s="491">
        <v>33</v>
      </c>
      <c r="J23" s="491">
        <v>30</v>
      </c>
      <c r="K23" s="491">
        <v>29</v>
      </c>
      <c r="L23" s="491">
        <v>29</v>
      </c>
      <c r="M23" s="491">
        <v>31</v>
      </c>
      <c r="N23" s="491">
        <v>31</v>
      </c>
      <c r="O23" s="492">
        <f>SUM(C23:N23)</f>
        <v>366</v>
      </c>
      <c r="P23" s="467"/>
      <c r="Q23" s="467"/>
    </row>
    <row r="24" spans="1:17" s="468" customFormat="1" ht="15.75">
      <c r="A24" s="493"/>
      <c r="B24" s="490" t="s">
        <v>23</v>
      </c>
      <c r="C24" s="491">
        <f t="shared" ref="C24:O24" si="8">(C22/C23)</f>
        <v>24640</v>
      </c>
      <c r="D24" s="491">
        <f t="shared" si="8"/>
        <v>26578.125</v>
      </c>
      <c r="E24" s="491">
        <f t="shared" si="8"/>
        <v>24600</v>
      </c>
      <c r="F24" s="491">
        <f t="shared" si="8"/>
        <v>29264.516129032258</v>
      </c>
      <c r="G24" s="491">
        <f t="shared" si="8"/>
        <v>31572.413793103449</v>
      </c>
      <c r="H24" s="491">
        <f t="shared" si="8"/>
        <v>31118.18181818182</v>
      </c>
      <c r="I24" s="491">
        <f t="shared" si="8"/>
        <v>31754.545454545456</v>
      </c>
      <c r="J24" s="491">
        <f t="shared" si="8"/>
        <v>31500</v>
      </c>
      <c r="K24" s="491">
        <f t="shared" si="8"/>
        <v>35989.65517241379</v>
      </c>
      <c r="L24" s="491">
        <f t="shared" si="8"/>
        <v>33020.689655172413</v>
      </c>
      <c r="M24" s="491">
        <f t="shared" si="8"/>
        <v>32109.677419354837</v>
      </c>
      <c r="N24" s="491">
        <f t="shared" si="8"/>
        <v>26351.612903225807</v>
      </c>
      <c r="O24" s="492">
        <f t="shared" si="8"/>
        <v>29876.22950819672</v>
      </c>
      <c r="P24" s="467"/>
      <c r="Q24" s="467"/>
    </row>
    <row r="25" spans="1:17" s="470" customFormat="1" ht="15.75">
      <c r="A25" s="489" t="s">
        <v>13</v>
      </c>
      <c r="B25" s="494" t="s">
        <v>15</v>
      </c>
      <c r="C25" s="499">
        <v>58865</v>
      </c>
      <c r="D25" s="499">
        <v>68584</v>
      </c>
      <c r="E25" s="499">
        <v>56706</v>
      </c>
      <c r="F25" s="499">
        <v>74701</v>
      </c>
      <c r="G25" s="499">
        <v>71060</v>
      </c>
      <c r="H25" s="499">
        <v>74353.36</v>
      </c>
      <c r="I25" s="499">
        <v>76113</v>
      </c>
      <c r="J25" s="499">
        <v>71828</v>
      </c>
      <c r="K25" s="499">
        <v>81620</v>
      </c>
      <c r="L25" s="499">
        <v>74036</v>
      </c>
      <c r="M25" s="499">
        <v>78727</v>
      </c>
      <c r="N25" s="499">
        <v>73072</v>
      </c>
      <c r="O25" s="496">
        <f>SUM(C25:N25)</f>
        <v>859665.36</v>
      </c>
      <c r="P25" s="469"/>
      <c r="Q25" s="469"/>
    </row>
    <row r="26" spans="1:17" s="472" customFormat="1" ht="15.75">
      <c r="A26" s="497"/>
      <c r="B26" s="498" t="s">
        <v>16</v>
      </c>
      <c r="C26" s="516">
        <f t="shared" ref="C26:O26" si="9">(C25/C22)</f>
        <v>7.9633387445887452E-2</v>
      </c>
      <c r="D26" s="516">
        <f>(D25/D22)</f>
        <v>8.0639623750734857E-2</v>
      </c>
      <c r="E26" s="516">
        <f t="shared" si="9"/>
        <v>8.2325783972125435E-2</v>
      </c>
      <c r="F26" s="516">
        <f t="shared" si="9"/>
        <v>8.2342372134038805E-2</v>
      </c>
      <c r="G26" s="516">
        <f t="shared" si="9"/>
        <v>7.7610310179117514E-2</v>
      </c>
      <c r="H26" s="516">
        <f t="shared" si="9"/>
        <v>7.2405648066997758E-2</v>
      </c>
      <c r="I26" s="516">
        <f t="shared" si="9"/>
        <v>7.2633839106785003E-2</v>
      </c>
      <c r="J26" s="516">
        <f t="shared" si="9"/>
        <v>7.6008465608465609E-2</v>
      </c>
      <c r="K26" s="516">
        <f t="shared" si="9"/>
        <v>7.8202548625083843E-2</v>
      </c>
      <c r="L26" s="516">
        <f t="shared" si="9"/>
        <v>7.7314118629908099E-2</v>
      </c>
      <c r="M26" s="516">
        <f t="shared" si="9"/>
        <v>7.9090817761703833E-2</v>
      </c>
      <c r="N26" s="516">
        <f t="shared" si="9"/>
        <v>8.9450361121312272E-2</v>
      </c>
      <c r="O26" s="517">
        <f t="shared" si="9"/>
        <v>7.8618102005541993E-2</v>
      </c>
      <c r="P26" s="471"/>
      <c r="Q26" s="471"/>
    </row>
    <row r="27" spans="1:17" s="468" customFormat="1" ht="15.75">
      <c r="A27" s="483" t="s">
        <v>289</v>
      </c>
      <c r="B27" s="490" t="s">
        <v>24</v>
      </c>
      <c r="C27" s="518">
        <v>1578</v>
      </c>
      <c r="D27" s="518">
        <v>1722</v>
      </c>
      <c r="E27" s="518">
        <v>1497</v>
      </c>
      <c r="F27" s="518">
        <v>1743</v>
      </c>
      <c r="G27" s="518">
        <v>1911</v>
      </c>
      <c r="H27" s="518">
        <v>1890</v>
      </c>
      <c r="I27" s="518">
        <v>1848</v>
      </c>
      <c r="J27" s="518">
        <v>1764</v>
      </c>
      <c r="K27" s="518">
        <v>1932</v>
      </c>
      <c r="L27" s="518">
        <v>1827</v>
      </c>
      <c r="M27" s="518">
        <v>1911</v>
      </c>
      <c r="N27" s="518">
        <v>1890</v>
      </c>
      <c r="O27" s="519">
        <f>SUM(C27:N27)/12</f>
        <v>1792.75</v>
      </c>
      <c r="P27" s="467"/>
      <c r="Q27" s="467"/>
    </row>
    <row r="28" spans="1:17" s="470" customFormat="1" ht="15.75">
      <c r="A28" s="483" t="s">
        <v>289</v>
      </c>
      <c r="B28" s="494" t="s">
        <v>173</v>
      </c>
      <c r="C28" s="499">
        <v>14402</v>
      </c>
      <c r="D28" s="499">
        <v>16497</v>
      </c>
      <c r="E28" s="499">
        <v>14341</v>
      </c>
      <c r="F28" s="499">
        <v>19102</v>
      </c>
      <c r="G28" s="499">
        <v>15566</v>
      </c>
      <c r="H28" s="499">
        <v>14156.1</v>
      </c>
      <c r="I28" s="499">
        <v>13842</v>
      </c>
      <c r="J28" s="499">
        <v>13212</v>
      </c>
      <c r="K28" s="499">
        <v>14471</v>
      </c>
      <c r="L28" s="499">
        <v>13684</v>
      </c>
      <c r="M28" s="499">
        <v>14313</v>
      </c>
      <c r="N28" s="499">
        <v>14156</v>
      </c>
      <c r="O28" s="500">
        <f>SUM(C28:N28)</f>
        <v>177742.1</v>
      </c>
      <c r="P28" s="469"/>
      <c r="Q28" s="469"/>
    </row>
    <row r="29" spans="1:17" s="468" customFormat="1" ht="15.75">
      <c r="A29" s="520"/>
      <c r="B29" s="490" t="s">
        <v>174</v>
      </c>
      <c r="C29" s="505">
        <f t="shared" ref="C29:O29" si="10">SUM(3412*C22)/1000</f>
        <v>2522150.4</v>
      </c>
      <c r="D29" s="505">
        <f t="shared" si="10"/>
        <v>2901906</v>
      </c>
      <c r="E29" s="505">
        <f t="shared" si="10"/>
        <v>2350185.6</v>
      </c>
      <c r="F29" s="505">
        <f t="shared" si="10"/>
        <v>3095366.4</v>
      </c>
      <c r="G29" s="505">
        <f t="shared" si="10"/>
        <v>3124027.2</v>
      </c>
      <c r="H29" s="505">
        <f t="shared" si="10"/>
        <v>3503782.8</v>
      </c>
      <c r="I29" s="505">
        <f t="shared" si="10"/>
        <v>3575434.8</v>
      </c>
      <c r="J29" s="505">
        <f t="shared" si="10"/>
        <v>3224340</v>
      </c>
      <c r="K29" s="505">
        <f>SUM(3412*K22)/1000</f>
        <v>3561104.4</v>
      </c>
      <c r="L29" s="505">
        <f t="shared" si="10"/>
        <v>3267331.2</v>
      </c>
      <c r="M29" s="505">
        <f t="shared" si="10"/>
        <v>3396304.8</v>
      </c>
      <c r="N29" s="505">
        <f t="shared" si="10"/>
        <v>2787262.8</v>
      </c>
      <c r="O29" s="506">
        <f t="shared" si="10"/>
        <v>37309196.399999999</v>
      </c>
      <c r="P29" s="467"/>
      <c r="Q29" s="477">
        <f>(Q26*135000)/1000</f>
        <v>0</v>
      </c>
    </row>
    <row r="30" spans="1:17" s="468" customFormat="1" ht="15.75">
      <c r="A30" s="520"/>
      <c r="B30" s="490"/>
      <c r="C30" s="505"/>
      <c r="D30" s="505"/>
      <c r="E30" s="505"/>
      <c r="F30" s="505"/>
      <c r="G30" s="505"/>
      <c r="H30" s="505"/>
      <c r="I30" s="505"/>
      <c r="J30" s="505"/>
      <c r="K30" s="505"/>
      <c r="L30" s="505"/>
      <c r="M30" s="505"/>
      <c r="N30" s="505"/>
      <c r="O30" s="506"/>
      <c r="P30" s="467"/>
      <c r="Q30" s="477"/>
    </row>
    <row r="31" spans="1:17" s="468" customFormat="1" ht="15.75">
      <c r="A31" s="489" t="s">
        <v>20</v>
      </c>
      <c r="B31" s="490" t="s">
        <v>21</v>
      </c>
      <c r="C31" s="505">
        <v>173600</v>
      </c>
      <c r="D31" s="505">
        <v>343000</v>
      </c>
      <c r="E31" s="505">
        <v>177800</v>
      </c>
      <c r="F31" s="505">
        <v>138600</v>
      </c>
      <c r="G31" s="505">
        <v>32200</v>
      </c>
      <c r="H31" s="505">
        <v>8400</v>
      </c>
      <c r="I31" s="505">
        <v>11200</v>
      </c>
      <c r="J31" s="505">
        <v>8400</v>
      </c>
      <c r="K31" s="505">
        <v>14000</v>
      </c>
      <c r="L31" s="505">
        <v>14000</v>
      </c>
      <c r="M31" s="505">
        <v>9800</v>
      </c>
      <c r="N31" s="505">
        <v>50400</v>
      </c>
      <c r="O31" s="492">
        <f t="shared" ref="O31:O37" si="11">SUM(C31:N31)</f>
        <v>981400</v>
      </c>
      <c r="P31" s="467"/>
      <c r="Q31" s="477"/>
    </row>
    <row r="32" spans="1:17" s="468" customFormat="1" ht="15.75">
      <c r="A32" s="515" t="s">
        <v>492</v>
      </c>
      <c r="B32" s="490" t="s">
        <v>22</v>
      </c>
      <c r="C32" s="505">
        <v>30</v>
      </c>
      <c r="D32" s="505">
        <v>32</v>
      </c>
      <c r="E32" s="505">
        <v>28</v>
      </c>
      <c r="F32" s="505">
        <v>31</v>
      </c>
      <c r="G32" s="505">
        <v>29</v>
      </c>
      <c r="H32" s="505">
        <v>33</v>
      </c>
      <c r="I32" s="505">
        <v>33</v>
      </c>
      <c r="J32" s="505">
        <v>30</v>
      </c>
      <c r="K32" s="505">
        <v>29</v>
      </c>
      <c r="L32" s="505">
        <v>29</v>
      </c>
      <c r="M32" s="505">
        <v>31</v>
      </c>
      <c r="N32" s="505">
        <v>31</v>
      </c>
      <c r="O32" s="492">
        <f t="shared" si="11"/>
        <v>366</v>
      </c>
      <c r="P32" s="467"/>
      <c r="Q32" s="477"/>
    </row>
    <row r="33" spans="1:17" s="468" customFormat="1" ht="15.75">
      <c r="A33" s="493"/>
      <c r="B33" s="490" t="s">
        <v>23</v>
      </c>
      <c r="C33" s="505">
        <f t="shared" ref="C33:H33" si="12">C31/C32</f>
        <v>5786.666666666667</v>
      </c>
      <c r="D33" s="505">
        <f t="shared" si="12"/>
        <v>10718.75</v>
      </c>
      <c r="E33" s="505">
        <f t="shared" si="12"/>
        <v>6350</v>
      </c>
      <c r="F33" s="505">
        <f t="shared" si="12"/>
        <v>4470.9677419354839</v>
      </c>
      <c r="G33" s="505">
        <f t="shared" si="12"/>
        <v>1110.344827586207</v>
      </c>
      <c r="H33" s="505">
        <f t="shared" si="12"/>
        <v>254.54545454545453</v>
      </c>
      <c r="I33" s="505">
        <f t="shared" ref="I33:O33" si="13">I31/I32</f>
        <v>339.39393939393938</v>
      </c>
      <c r="J33" s="505">
        <f t="shared" si="13"/>
        <v>280</v>
      </c>
      <c r="K33" s="505">
        <f t="shared" si="13"/>
        <v>482.75862068965517</v>
      </c>
      <c r="L33" s="505">
        <f t="shared" si="13"/>
        <v>482.75862068965517</v>
      </c>
      <c r="M33" s="505">
        <f t="shared" si="13"/>
        <v>316.12903225806451</v>
      </c>
      <c r="N33" s="505">
        <f t="shared" si="13"/>
        <v>1625.8064516129032</v>
      </c>
      <c r="O33" s="505">
        <f t="shared" si="13"/>
        <v>2681.4207650273224</v>
      </c>
      <c r="P33" s="467"/>
      <c r="Q33" s="477"/>
    </row>
    <row r="34" spans="1:17" s="468" customFormat="1" ht="15.75">
      <c r="A34" s="489" t="s">
        <v>13</v>
      </c>
      <c r="B34" s="494" t="s">
        <v>15</v>
      </c>
      <c r="C34" s="499">
        <v>22245</v>
      </c>
      <c r="D34" s="499">
        <v>33798</v>
      </c>
      <c r="E34" s="499">
        <v>23722</v>
      </c>
      <c r="F34" s="499">
        <v>16628</v>
      </c>
      <c r="G34" s="499">
        <v>7086</v>
      </c>
      <c r="H34" s="499">
        <v>1176.17</v>
      </c>
      <c r="I34" s="499">
        <v>1290</v>
      </c>
      <c r="J34" s="499">
        <v>1319</v>
      </c>
      <c r="K34" s="499">
        <v>1508</v>
      </c>
      <c r="L34" s="499">
        <v>1631</v>
      </c>
      <c r="M34" s="499">
        <v>1265</v>
      </c>
      <c r="N34" s="499">
        <v>8465</v>
      </c>
      <c r="O34" s="496">
        <f t="shared" si="11"/>
        <v>120133.17</v>
      </c>
      <c r="P34" s="467"/>
      <c r="Q34" s="477"/>
    </row>
    <row r="35" spans="1:17" s="468" customFormat="1" ht="15.75">
      <c r="A35" s="497"/>
      <c r="B35" s="498" t="s">
        <v>16</v>
      </c>
      <c r="C35" s="521">
        <f>(C34/C31)</f>
        <v>0.12813940092165899</v>
      </c>
      <c r="D35" s="521">
        <f>(D34/D31)</f>
        <v>9.8536443148688049E-2</v>
      </c>
      <c r="E35" s="521">
        <f>E34/E31</f>
        <v>0.13341957255343082</v>
      </c>
      <c r="F35" s="521">
        <f>F34/F31</f>
        <v>0.11997113997113996</v>
      </c>
      <c r="G35" s="521">
        <f t="shared" ref="G35:O35" si="14">G34/G31</f>
        <v>0.22006211180124224</v>
      </c>
      <c r="H35" s="521">
        <f t="shared" si="14"/>
        <v>0.14002023809523811</v>
      </c>
      <c r="I35" s="521">
        <f t="shared" si="14"/>
        <v>0.11517857142857142</v>
      </c>
      <c r="J35" s="521">
        <f t="shared" si="14"/>
        <v>0.15702380952380951</v>
      </c>
      <c r="K35" s="521">
        <f t="shared" si="14"/>
        <v>0.10771428571428572</v>
      </c>
      <c r="L35" s="521">
        <f t="shared" si="14"/>
        <v>0.11650000000000001</v>
      </c>
      <c r="M35" s="521">
        <f t="shared" si="14"/>
        <v>0.12908163265306122</v>
      </c>
      <c r="N35" s="521">
        <f t="shared" si="14"/>
        <v>0.16795634920634919</v>
      </c>
      <c r="O35" s="521">
        <f t="shared" si="14"/>
        <v>0.12240999592418993</v>
      </c>
      <c r="P35" s="467"/>
      <c r="Q35" s="477"/>
    </row>
    <row r="36" spans="1:17" s="468" customFormat="1" ht="15.75">
      <c r="A36" s="483" t="s">
        <v>289</v>
      </c>
      <c r="B36" s="490" t="s">
        <v>24</v>
      </c>
      <c r="C36" s="505">
        <v>1054</v>
      </c>
      <c r="D36" s="505">
        <v>1136</v>
      </c>
      <c r="E36" s="505">
        <v>1091</v>
      </c>
      <c r="F36" s="505">
        <v>648</v>
      </c>
      <c r="G36" s="505">
        <v>535</v>
      </c>
      <c r="H36" s="505">
        <v>76</v>
      </c>
      <c r="I36" s="505">
        <v>68</v>
      </c>
      <c r="J36" s="505">
        <v>80</v>
      </c>
      <c r="K36" s="518">
        <v>60</v>
      </c>
      <c r="L36" s="505">
        <v>75</v>
      </c>
      <c r="M36" s="505">
        <v>66</v>
      </c>
      <c r="N36" s="505">
        <v>488</v>
      </c>
      <c r="O36" s="492">
        <f t="shared" si="11"/>
        <v>5377</v>
      </c>
      <c r="P36" s="467"/>
      <c r="Q36" s="477"/>
    </row>
    <row r="37" spans="1:17" s="468" customFormat="1" ht="15.75">
      <c r="A37" s="483" t="s">
        <v>289</v>
      </c>
      <c r="B37" s="494" t="s">
        <v>173</v>
      </c>
      <c r="C37" s="499">
        <v>9620</v>
      </c>
      <c r="D37" s="499">
        <v>10883</v>
      </c>
      <c r="E37" s="499">
        <v>709</v>
      </c>
      <c r="F37" s="499">
        <v>7102</v>
      </c>
      <c r="G37" s="499">
        <v>4445</v>
      </c>
      <c r="H37" s="499">
        <v>569.24</v>
      </c>
      <c r="I37" s="499">
        <v>509</v>
      </c>
      <c r="J37" s="499">
        <v>599</v>
      </c>
      <c r="K37" s="499">
        <v>449</v>
      </c>
      <c r="L37" s="499">
        <v>562</v>
      </c>
      <c r="M37" s="499">
        <v>494</v>
      </c>
      <c r="N37" s="499">
        <v>3655</v>
      </c>
      <c r="O37" s="492">
        <f t="shared" si="11"/>
        <v>39596.239999999998</v>
      </c>
      <c r="P37" s="467"/>
      <c r="Q37" s="477"/>
    </row>
    <row r="38" spans="1:17" s="468" customFormat="1" ht="15.75">
      <c r="A38" s="520"/>
      <c r="B38" s="490" t="s">
        <v>174</v>
      </c>
      <c r="C38" s="505">
        <f>SUM(3412*C31)/1000</f>
        <v>592323.19999999995</v>
      </c>
      <c r="D38" s="505">
        <f t="shared" ref="D38:O38" si="15">SUM(3412*D31)/1000</f>
        <v>1170316</v>
      </c>
      <c r="E38" s="505">
        <f t="shared" si="15"/>
        <v>606653.6</v>
      </c>
      <c r="F38" s="505">
        <f t="shared" si="15"/>
        <v>472903.2</v>
      </c>
      <c r="G38" s="505">
        <f t="shared" si="15"/>
        <v>109866.4</v>
      </c>
      <c r="H38" s="505">
        <f t="shared" si="15"/>
        <v>28660.799999999999</v>
      </c>
      <c r="I38" s="505">
        <f t="shared" si="15"/>
        <v>38214.400000000001</v>
      </c>
      <c r="J38" s="505">
        <f t="shared" si="15"/>
        <v>28660.799999999999</v>
      </c>
      <c r="K38" s="505">
        <f t="shared" si="15"/>
        <v>47768</v>
      </c>
      <c r="L38" s="505">
        <f t="shared" si="15"/>
        <v>47768</v>
      </c>
      <c r="M38" s="505">
        <f t="shared" si="15"/>
        <v>33437.599999999999</v>
      </c>
      <c r="N38" s="505">
        <f t="shared" si="15"/>
        <v>171964.79999999999</v>
      </c>
      <c r="O38" s="505">
        <f t="shared" si="15"/>
        <v>3348536.8</v>
      </c>
      <c r="P38" s="467"/>
      <c r="Q38" s="477"/>
    </row>
    <row r="39" spans="1:17" s="468" customFormat="1" ht="15.75">
      <c r="A39" s="520"/>
      <c r="B39" s="490"/>
      <c r="C39" s="505"/>
      <c r="D39" s="505"/>
      <c r="E39" s="505"/>
      <c r="F39" s="505"/>
      <c r="G39" s="505"/>
      <c r="H39" s="505"/>
      <c r="I39" s="505"/>
      <c r="J39" s="505"/>
      <c r="K39" s="505"/>
      <c r="L39" s="505"/>
      <c r="M39" s="505"/>
      <c r="N39" s="505"/>
      <c r="O39" s="506"/>
      <c r="P39" s="467"/>
      <c r="Q39" s="477"/>
    </row>
    <row r="40" spans="1:17" s="468" customFormat="1" ht="15.75">
      <c r="A40" s="520" t="s">
        <v>393</v>
      </c>
      <c r="B40" s="490" t="s">
        <v>21</v>
      </c>
      <c r="C40" s="505">
        <f>(C22+C31)</f>
        <v>912800</v>
      </c>
      <c r="D40" s="505">
        <f t="shared" ref="D40:N40" si="16">(D22+D31)</f>
        <v>1193500</v>
      </c>
      <c r="E40" s="505">
        <f t="shared" si="16"/>
        <v>866600</v>
      </c>
      <c r="F40" s="505">
        <f t="shared" si="16"/>
        <v>1045800</v>
      </c>
      <c r="G40" s="505">
        <f t="shared" si="16"/>
        <v>947800</v>
      </c>
      <c r="H40" s="505">
        <f t="shared" si="16"/>
        <v>1035300</v>
      </c>
      <c r="I40" s="505">
        <f t="shared" si="16"/>
        <v>1059100</v>
      </c>
      <c r="J40" s="505">
        <f t="shared" si="16"/>
        <v>953400</v>
      </c>
      <c r="K40" s="505">
        <f t="shared" si="16"/>
        <v>1057700</v>
      </c>
      <c r="L40" s="505">
        <f t="shared" si="16"/>
        <v>971600</v>
      </c>
      <c r="M40" s="505">
        <f t="shared" si="16"/>
        <v>1005200</v>
      </c>
      <c r="N40" s="505">
        <f t="shared" si="16"/>
        <v>867300</v>
      </c>
      <c r="O40" s="492">
        <f>SUM(C40:N40)</f>
        <v>11916100</v>
      </c>
      <c r="P40" s="467"/>
      <c r="Q40" s="477"/>
    </row>
    <row r="41" spans="1:17" s="468" customFormat="1" ht="15.75">
      <c r="A41" s="520"/>
      <c r="B41" s="490" t="s">
        <v>16</v>
      </c>
      <c r="C41" s="522">
        <f t="shared" ref="C41:O41" si="17">(C42/C40)</f>
        <v>8.8858457493426815E-2</v>
      </c>
      <c r="D41" s="522">
        <f t="shared" si="17"/>
        <v>8.5782991202346046E-2</v>
      </c>
      <c r="E41" s="522">
        <f t="shared" si="17"/>
        <v>9.2808677590583893E-2</v>
      </c>
      <c r="F41" s="522">
        <f t="shared" si="17"/>
        <v>8.7329317269076306E-2</v>
      </c>
      <c r="G41" s="522">
        <f t="shared" si="17"/>
        <v>8.2449883941759866E-2</v>
      </c>
      <c r="H41" s="522">
        <f t="shared" si="17"/>
        <v>7.295424514633439E-2</v>
      </c>
      <c r="I41" s="522">
        <f t="shared" si="17"/>
        <v>7.3083750354074217E-2</v>
      </c>
      <c r="J41" s="522">
        <f t="shared" si="17"/>
        <v>7.6722257184812251E-2</v>
      </c>
      <c r="K41" s="522">
        <f t="shared" si="17"/>
        <v>7.859317386782641E-2</v>
      </c>
      <c r="L41" s="522">
        <f t="shared" si="17"/>
        <v>7.7878756689995887E-2</v>
      </c>
      <c r="M41" s="522">
        <f t="shared" si="17"/>
        <v>7.9578193394349378E-2</v>
      </c>
      <c r="N41" s="522">
        <f t="shared" si="17"/>
        <v>9.4012452438602553E-2</v>
      </c>
      <c r="O41" s="522">
        <f t="shared" si="17"/>
        <v>8.2224765653191909E-2</v>
      </c>
      <c r="P41" s="467"/>
      <c r="Q41" s="477"/>
    </row>
    <row r="42" spans="1:17" s="468" customFormat="1" ht="15.75">
      <c r="A42" s="520"/>
      <c r="B42" s="494" t="s">
        <v>15</v>
      </c>
      <c r="C42" s="499">
        <f>(C25+C34)</f>
        <v>81110</v>
      </c>
      <c r="D42" s="499">
        <f t="shared" ref="D42:N42" si="18">(D25+D34)</f>
        <v>102382</v>
      </c>
      <c r="E42" s="499">
        <f t="shared" si="18"/>
        <v>80428</v>
      </c>
      <c r="F42" s="499">
        <f t="shared" si="18"/>
        <v>91329</v>
      </c>
      <c r="G42" s="499">
        <f t="shared" si="18"/>
        <v>78146</v>
      </c>
      <c r="H42" s="499">
        <f t="shared" si="18"/>
        <v>75529.53</v>
      </c>
      <c r="I42" s="523">
        <f t="shared" si="18"/>
        <v>77403</v>
      </c>
      <c r="J42" s="523">
        <f t="shared" si="18"/>
        <v>73147</v>
      </c>
      <c r="K42" s="523">
        <f t="shared" si="18"/>
        <v>83128</v>
      </c>
      <c r="L42" s="523">
        <f t="shared" si="18"/>
        <v>75667</v>
      </c>
      <c r="M42" s="523">
        <f t="shared" si="18"/>
        <v>79992</v>
      </c>
      <c r="N42" s="523">
        <f t="shared" si="18"/>
        <v>81537</v>
      </c>
      <c r="O42" s="496">
        <f>SUM(C42:N42)</f>
        <v>979798.53</v>
      </c>
      <c r="P42" s="467"/>
      <c r="Q42" s="477"/>
    </row>
    <row r="43" spans="1:17" s="146" customFormat="1" ht="15.75">
      <c r="A43" s="493"/>
      <c r="B43" s="524"/>
      <c r="C43" s="525"/>
      <c r="D43" s="525"/>
      <c r="E43" s="525"/>
      <c r="F43" s="525"/>
      <c r="G43" s="525"/>
      <c r="H43" s="525"/>
      <c r="I43" s="525"/>
      <c r="J43" s="525"/>
      <c r="K43" s="525"/>
      <c r="L43" s="525"/>
      <c r="M43" s="525"/>
      <c r="N43" s="525" t="s">
        <v>13</v>
      </c>
      <c r="O43" s="525"/>
      <c r="P43" s="478"/>
      <c r="Q43" s="147"/>
    </row>
    <row r="44" spans="1:17" s="468" customFormat="1" ht="15.75">
      <c r="A44" s="526" t="s">
        <v>293</v>
      </c>
      <c r="B44" s="490"/>
      <c r="C44" s="527">
        <f>SUM(C19,C29,C38)/1000</f>
        <v>3114.4735999999998</v>
      </c>
      <c r="D44" s="527">
        <f t="shared" ref="D44:O44" si="19">SUM(D19,D29,D38)/1000</f>
        <v>4072.2220000000002</v>
      </c>
      <c r="E44" s="527">
        <f t="shared" si="19"/>
        <v>2956.8392000000003</v>
      </c>
      <c r="F44" s="527">
        <f t="shared" si="19"/>
        <v>4190.2696000000005</v>
      </c>
      <c r="G44" s="527">
        <f t="shared" si="19"/>
        <v>10131.893599999999</v>
      </c>
      <c r="H44" s="527">
        <f t="shared" si="19"/>
        <v>13423.443600000002</v>
      </c>
      <c r="I44" s="527">
        <f t="shared" si="19"/>
        <v>17192.6492</v>
      </c>
      <c r="J44" s="527">
        <f t="shared" si="19"/>
        <v>18030.000800000002</v>
      </c>
      <c r="K44" s="527">
        <f t="shared" si="19"/>
        <v>15514.572400000001</v>
      </c>
      <c r="L44" s="527">
        <f t="shared" si="19"/>
        <v>16583.199199999999</v>
      </c>
      <c r="M44" s="527">
        <f t="shared" si="19"/>
        <v>12053.742400000001</v>
      </c>
      <c r="N44" s="527">
        <f t="shared" si="19"/>
        <v>5704.2275999999993</v>
      </c>
      <c r="O44" s="527">
        <f t="shared" si="19"/>
        <v>122967.53320000001</v>
      </c>
      <c r="P44" s="479"/>
      <c r="Q44" s="467"/>
    </row>
    <row r="45" spans="1:17" s="146" customFormat="1" ht="15.75">
      <c r="A45" s="493"/>
      <c r="B45" s="493"/>
      <c r="C45" s="483"/>
      <c r="D45" s="483"/>
      <c r="E45" s="528" t="s">
        <v>13</v>
      </c>
      <c r="F45" s="483"/>
      <c r="G45" s="483"/>
      <c r="H45" s="483"/>
      <c r="I45" s="483"/>
      <c r="J45" s="483"/>
      <c r="K45" s="483"/>
      <c r="L45" s="483"/>
      <c r="M45" s="483"/>
      <c r="N45" s="483"/>
      <c r="O45" s="493"/>
      <c r="P45" s="147"/>
      <c r="Q45" s="480"/>
    </row>
    <row r="46" spans="1:17" s="146" customFormat="1" ht="15.75">
      <c r="A46" s="489" t="s">
        <v>25</v>
      </c>
      <c r="B46" s="489" t="s">
        <v>13</v>
      </c>
      <c r="C46" s="491">
        <v>0</v>
      </c>
      <c r="D46" s="491">
        <v>0</v>
      </c>
      <c r="E46" s="491">
        <v>0</v>
      </c>
      <c r="F46" s="491">
        <v>383000</v>
      </c>
      <c r="G46" s="491">
        <v>5746000</v>
      </c>
      <c r="H46" s="491">
        <v>7934000</v>
      </c>
      <c r="I46" s="491">
        <v>10943000</v>
      </c>
      <c r="J46" s="491">
        <v>12697000</v>
      </c>
      <c r="K46" s="491">
        <v>9839077</v>
      </c>
      <c r="L46" s="491">
        <v>9433891</v>
      </c>
      <c r="M46" s="491">
        <v>7604590</v>
      </c>
      <c r="N46" s="491">
        <v>2523000</v>
      </c>
      <c r="O46" s="492">
        <f>SUM(C46:N46)</f>
        <v>67103558</v>
      </c>
      <c r="P46" s="475"/>
      <c r="Q46" s="475"/>
    </row>
    <row r="47" spans="1:17" s="146" customFormat="1" ht="15.75">
      <c r="A47" s="489" t="s">
        <v>26</v>
      </c>
      <c r="B47" s="529"/>
      <c r="C47" s="530">
        <v>0</v>
      </c>
      <c r="D47" s="530">
        <v>0</v>
      </c>
      <c r="E47" s="530">
        <v>0</v>
      </c>
      <c r="F47" s="530">
        <f t="shared" ref="F47:N47" si="20">(F46*884)/(F19*1000)</f>
        <v>0.54432797427652735</v>
      </c>
      <c r="G47" s="530">
        <f t="shared" si="20"/>
        <v>0.7363676427950131</v>
      </c>
      <c r="H47" s="530">
        <f t="shared" si="20"/>
        <v>0.70909473258517841</v>
      </c>
      <c r="I47" s="530">
        <f t="shared" si="20"/>
        <v>0.71239502172472202</v>
      </c>
      <c r="J47" s="530">
        <f t="shared" si="20"/>
        <v>0.75956878933477701</v>
      </c>
      <c r="K47" s="530">
        <f t="shared" si="20"/>
        <v>0.7305529341407897</v>
      </c>
      <c r="L47" s="530">
        <f t="shared" si="20"/>
        <v>0.62854211560057582</v>
      </c>
      <c r="M47" s="530">
        <f t="shared" si="20"/>
        <v>0.7795057467532468</v>
      </c>
      <c r="N47" s="530">
        <f t="shared" si="20"/>
        <v>0.81250710382513658</v>
      </c>
      <c r="O47" s="531">
        <f>SUM(C47:N47)/8</f>
        <v>0.80160775762949577</v>
      </c>
      <c r="P47" s="480"/>
      <c r="Q47" s="475"/>
    </row>
    <row r="48" spans="1:17" s="146" customFormat="1" ht="15.75">
      <c r="A48" s="489" t="s">
        <v>27</v>
      </c>
      <c r="B48" s="493"/>
      <c r="C48" s="491">
        <v>0</v>
      </c>
      <c r="D48" s="491">
        <v>2</v>
      </c>
      <c r="E48" s="491">
        <v>40</v>
      </c>
      <c r="F48" s="491">
        <v>107</v>
      </c>
      <c r="G48" s="491">
        <v>515</v>
      </c>
      <c r="H48" s="491">
        <v>811</v>
      </c>
      <c r="I48" s="491">
        <v>1222</v>
      </c>
      <c r="J48" s="491">
        <v>1430</v>
      </c>
      <c r="K48" s="491">
        <v>1258</v>
      </c>
      <c r="L48" s="491">
        <v>1161</v>
      </c>
      <c r="M48" s="491">
        <v>756</v>
      </c>
      <c r="N48" s="491">
        <v>260</v>
      </c>
      <c r="O48" s="492">
        <f>SUM(C48:N48)</f>
        <v>7562</v>
      </c>
      <c r="P48" s="475"/>
      <c r="Q48" s="475"/>
    </row>
    <row r="49" spans="1:17" s="146" customFormat="1" ht="15.75">
      <c r="A49" s="489" t="s">
        <v>28</v>
      </c>
      <c r="B49" s="493"/>
      <c r="C49" s="491">
        <v>277</v>
      </c>
      <c r="D49" s="491">
        <v>438</v>
      </c>
      <c r="E49" s="491">
        <v>271</v>
      </c>
      <c r="F49" s="491">
        <v>148</v>
      </c>
      <c r="G49" s="491">
        <v>8</v>
      </c>
      <c r="H49" s="491">
        <v>0</v>
      </c>
      <c r="I49" s="491">
        <v>0</v>
      </c>
      <c r="J49" s="491">
        <v>0</v>
      </c>
      <c r="K49" s="491">
        <v>0</v>
      </c>
      <c r="L49" s="491">
        <v>0</v>
      </c>
      <c r="M49" s="491">
        <v>13</v>
      </c>
      <c r="N49" s="491">
        <v>87</v>
      </c>
      <c r="O49" s="492">
        <f>SUM(C49:N49)</f>
        <v>1242</v>
      </c>
      <c r="P49" s="475"/>
      <c r="Q49" s="475"/>
    </row>
    <row r="50" spans="1:17" s="146" customFormat="1" ht="15.75">
      <c r="A50" s="489" t="s">
        <v>389</v>
      </c>
      <c r="B50" s="493"/>
      <c r="C50" s="491">
        <v>344</v>
      </c>
      <c r="D50" s="491">
        <v>214</v>
      </c>
      <c r="E50" s="491">
        <v>62</v>
      </c>
      <c r="F50" s="491">
        <v>138</v>
      </c>
      <c r="G50" s="491">
        <v>1</v>
      </c>
      <c r="H50" s="491">
        <v>0</v>
      </c>
      <c r="I50" s="491">
        <v>0</v>
      </c>
      <c r="J50" s="491">
        <v>0</v>
      </c>
      <c r="K50" s="491">
        <v>0</v>
      </c>
      <c r="L50" s="491">
        <v>0</v>
      </c>
      <c r="M50" s="491">
        <v>0</v>
      </c>
      <c r="N50" s="491">
        <v>73</v>
      </c>
      <c r="O50" s="492">
        <f>SUM(C50:N50)</f>
        <v>832</v>
      </c>
      <c r="P50" s="475"/>
      <c r="Q50" s="475"/>
    </row>
    <row r="51" spans="1:17" s="146" customFormat="1" ht="15.75">
      <c r="A51" s="489" t="s">
        <v>390</v>
      </c>
      <c r="B51" s="493"/>
      <c r="C51" s="491">
        <v>104</v>
      </c>
      <c r="D51" s="491">
        <v>528</v>
      </c>
      <c r="E51" s="491">
        <v>4</v>
      </c>
      <c r="F51" s="491">
        <v>150</v>
      </c>
      <c r="G51" s="491">
        <v>17</v>
      </c>
      <c r="H51" s="491">
        <v>0</v>
      </c>
      <c r="I51" s="491">
        <v>0</v>
      </c>
      <c r="J51" s="491">
        <v>0</v>
      </c>
      <c r="K51" s="491">
        <v>0</v>
      </c>
      <c r="L51" s="491">
        <v>0</v>
      </c>
      <c r="M51" s="491">
        <v>0</v>
      </c>
      <c r="N51" s="491">
        <v>142</v>
      </c>
      <c r="O51" s="492">
        <f>SUM(C51:N51)</f>
        <v>945</v>
      </c>
      <c r="P51" s="475"/>
    </row>
    <row r="52" spans="1:17" s="146" customFormat="1" ht="15.75">
      <c r="A52" s="489" t="s">
        <v>391</v>
      </c>
      <c r="B52" s="493"/>
      <c r="C52" s="491">
        <v>245</v>
      </c>
      <c r="D52" s="491">
        <v>73</v>
      </c>
      <c r="E52" s="491">
        <v>551</v>
      </c>
      <c r="F52" s="491">
        <v>37</v>
      </c>
      <c r="G52" s="491">
        <v>18</v>
      </c>
      <c r="H52" s="491">
        <v>0</v>
      </c>
      <c r="I52" s="491">
        <v>0</v>
      </c>
      <c r="J52" s="491">
        <v>0</v>
      </c>
      <c r="K52" s="491">
        <v>0</v>
      </c>
      <c r="L52" s="491">
        <v>0</v>
      </c>
      <c r="M52" s="491">
        <v>0</v>
      </c>
      <c r="N52" s="491">
        <v>1</v>
      </c>
      <c r="O52" s="492">
        <f>SUM(C52:N52)</f>
        <v>925</v>
      </c>
      <c r="P52" s="475"/>
    </row>
    <row r="53" spans="1:17" s="146" customFormat="1" ht="15.75">
      <c r="A53" s="493"/>
      <c r="B53" s="493"/>
      <c r="C53" s="483"/>
      <c r="D53" s="483"/>
      <c r="E53" s="483"/>
      <c r="F53" s="483"/>
      <c r="G53" s="483"/>
      <c r="H53" s="483"/>
      <c r="I53" s="483"/>
      <c r="J53" s="483"/>
      <c r="K53" s="483"/>
      <c r="L53" s="483"/>
      <c r="M53" s="483"/>
      <c r="N53" s="483"/>
      <c r="O53" s="493"/>
    </row>
    <row r="54" spans="1:17" s="146" customFormat="1" ht="15.75">
      <c r="A54" s="481" t="s">
        <v>485</v>
      </c>
      <c r="B54" s="482"/>
      <c r="C54" s="483"/>
      <c r="D54" s="483"/>
      <c r="E54" s="483"/>
      <c r="F54" s="483"/>
      <c r="G54" s="483"/>
      <c r="H54" s="483"/>
      <c r="I54" s="483"/>
      <c r="J54" s="483"/>
      <c r="K54" s="483"/>
      <c r="L54" s="483"/>
      <c r="M54" s="484"/>
      <c r="N54" s="483"/>
      <c r="O54" s="483"/>
    </row>
    <row r="55" spans="1:17" s="146" customFormat="1" ht="15.75">
      <c r="A55" s="481"/>
      <c r="B55" s="482"/>
      <c r="C55" s="483"/>
      <c r="D55" s="483"/>
      <c r="E55" s="483"/>
      <c r="F55" s="483"/>
      <c r="G55" s="483"/>
      <c r="H55" s="483"/>
      <c r="I55" s="483"/>
      <c r="J55" s="483"/>
      <c r="K55" s="483"/>
      <c r="L55" s="483"/>
      <c r="M55" s="484"/>
      <c r="N55" s="483"/>
      <c r="O55" s="483"/>
    </row>
    <row r="56" spans="1:17" s="466" customFormat="1" ht="15.75">
      <c r="A56" s="485"/>
      <c r="B56" s="485"/>
      <c r="C56" s="486" t="s">
        <v>53</v>
      </c>
      <c r="D56" s="487" t="s">
        <v>54</v>
      </c>
      <c r="E56" s="487" t="s">
        <v>55</v>
      </c>
      <c r="F56" s="487" t="s">
        <v>3</v>
      </c>
      <c r="G56" s="487" t="s">
        <v>4</v>
      </c>
      <c r="H56" s="487" t="s">
        <v>5</v>
      </c>
      <c r="I56" s="487" t="s">
        <v>6</v>
      </c>
      <c r="J56" s="487" t="s">
        <v>7</v>
      </c>
      <c r="K56" s="487" t="s">
        <v>8</v>
      </c>
      <c r="L56" s="487" t="s">
        <v>62</v>
      </c>
      <c r="M56" s="487" t="s">
        <v>63</v>
      </c>
      <c r="N56" s="487" t="s">
        <v>11</v>
      </c>
      <c r="O56" s="488" t="s">
        <v>12</v>
      </c>
      <c r="Q56" s="465"/>
    </row>
    <row r="57" spans="1:17" s="468" customFormat="1" ht="15.75">
      <c r="A57" s="489" t="s">
        <v>14</v>
      </c>
      <c r="B57" s="490" t="s">
        <v>290</v>
      </c>
      <c r="C57" s="491">
        <v>0</v>
      </c>
      <c r="D57" s="491">
        <v>0</v>
      </c>
      <c r="E57" s="491">
        <v>0</v>
      </c>
      <c r="F57" s="491">
        <v>119</v>
      </c>
      <c r="G57" s="491">
        <v>4726</v>
      </c>
      <c r="H57" s="491">
        <v>9983</v>
      </c>
      <c r="I57" s="491">
        <v>12738</v>
      </c>
      <c r="J57" s="491">
        <v>12291</v>
      </c>
      <c r="K57" s="491">
        <v>11934</v>
      </c>
      <c r="L57" s="491">
        <v>6124</v>
      </c>
      <c r="M57" s="491">
        <v>5408</v>
      </c>
      <c r="N57" s="491">
        <v>1268</v>
      </c>
      <c r="O57" s="492">
        <f>SUM(C57:N57)</f>
        <v>64591</v>
      </c>
      <c r="P57" s="467"/>
      <c r="Q57" s="467"/>
    </row>
    <row r="58" spans="1:17" s="470" customFormat="1" ht="15.75">
      <c r="A58" s="493"/>
      <c r="B58" s="494" t="s">
        <v>15</v>
      </c>
      <c r="C58" s="495">
        <v>311.17</v>
      </c>
      <c r="D58" s="495">
        <v>311.17</v>
      </c>
      <c r="E58" s="495">
        <v>311.17</v>
      </c>
      <c r="F58" s="495">
        <v>921</v>
      </c>
      <c r="G58" s="495">
        <v>24175</v>
      </c>
      <c r="H58" s="495">
        <v>52924.13</v>
      </c>
      <c r="I58" s="495">
        <v>66790</v>
      </c>
      <c r="J58" s="495">
        <v>60419</v>
      </c>
      <c r="K58" s="495">
        <v>56345</v>
      </c>
      <c r="L58" s="495">
        <v>28973</v>
      </c>
      <c r="M58" s="495">
        <v>20384.2</v>
      </c>
      <c r="N58" s="495">
        <v>4172</v>
      </c>
      <c r="O58" s="496">
        <f>SUM(C58:N58)</f>
        <v>316036.84000000003</v>
      </c>
      <c r="P58" s="469"/>
      <c r="Q58" s="469"/>
    </row>
    <row r="59" spans="1:17" s="472" customFormat="1" ht="15.75">
      <c r="A59" s="497"/>
      <c r="B59" s="498" t="s">
        <v>16</v>
      </c>
      <c r="C59" s="499">
        <v>0</v>
      </c>
      <c r="D59" s="499">
        <v>0</v>
      </c>
      <c r="E59" s="499">
        <v>0</v>
      </c>
      <c r="F59" s="499">
        <f t="shared" ref="F59:O59" si="21">(F58/F57)</f>
        <v>7.7394957983193278</v>
      </c>
      <c r="G59" s="499">
        <f t="shared" si="21"/>
        <v>5.1153195090986037</v>
      </c>
      <c r="H59" s="499">
        <f t="shared" si="21"/>
        <v>5.3014254232194729</v>
      </c>
      <c r="I59" s="499">
        <f t="shared" si="21"/>
        <v>5.2433663055424713</v>
      </c>
      <c r="J59" s="499">
        <f t="shared" si="21"/>
        <v>4.9157106826132946</v>
      </c>
      <c r="K59" s="499">
        <f t="shared" si="21"/>
        <v>4.7213842802078094</v>
      </c>
      <c r="L59" s="499">
        <f t="shared" si="21"/>
        <v>4.7310581319399088</v>
      </c>
      <c r="M59" s="499">
        <f t="shared" si="21"/>
        <v>3.7692677514792901</v>
      </c>
      <c r="N59" s="499">
        <f t="shared" si="21"/>
        <v>3.2902208201892744</v>
      </c>
      <c r="O59" s="500">
        <f t="shared" si="21"/>
        <v>4.892892817884845</v>
      </c>
      <c r="P59" s="471"/>
      <c r="Q59" s="471"/>
    </row>
    <row r="60" spans="1:17" s="468" customFormat="1" ht="15.75">
      <c r="A60" s="493"/>
      <c r="B60" s="490" t="s">
        <v>291</v>
      </c>
      <c r="C60" s="491">
        <f>(C57*100000)/1000</f>
        <v>0</v>
      </c>
      <c r="D60" s="491">
        <f>(D57*100000)/1000</f>
        <v>0</v>
      </c>
      <c r="E60" s="491">
        <f>(E57*100000)/1000</f>
        <v>0</v>
      </c>
      <c r="F60" s="491">
        <f>(F57*1000)</f>
        <v>119000</v>
      </c>
      <c r="G60" s="491">
        <f>(G57*1000)</f>
        <v>4726000</v>
      </c>
      <c r="H60" s="491">
        <f>(H57*1000)</f>
        <v>9983000</v>
      </c>
      <c r="I60" s="491">
        <f>I57*1000</f>
        <v>12738000</v>
      </c>
      <c r="J60" s="491">
        <f>(J57*1000000)/1000</f>
        <v>12291000</v>
      </c>
      <c r="K60" s="491">
        <f>(K57*1000000)/1000</f>
        <v>11934000</v>
      </c>
      <c r="L60" s="491">
        <f>(L57*1000000)/1000</f>
        <v>6124000</v>
      </c>
      <c r="M60" s="491">
        <f>(M57*1000000)/1000</f>
        <v>5408000</v>
      </c>
      <c r="N60" s="491">
        <f>(N57*1000000)/1000</f>
        <v>1268000</v>
      </c>
      <c r="O60" s="492">
        <f>(O57*1000)</f>
        <v>64591000</v>
      </c>
      <c r="P60" s="467"/>
      <c r="Q60" s="467"/>
    </row>
    <row r="61" spans="1:17" s="146" customFormat="1" ht="15.75">
      <c r="A61" s="493"/>
      <c r="B61" s="489"/>
      <c r="C61" s="501"/>
      <c r="D61" s="501"/>
      <c r="E61" s="501"/>
      <c r="F61" s="501"/>
      <c r="G61" s="501"/>
      <c r="H61" s="501"/>
      <c r="I61" s="501"/>
      <c r="J61" s="501"/>
      <c r="K61" s="501"/>
      <c r="L61" s="501"/>
      <c r="M61" s="501"/>
      <c r="N61" s="501"/>
      <c r="O61" s="502"/>
      <c r="P61" s="473"/>
      <c r="Q61" s="473"/>
    </row>
    <row r="62" spans="1:17" s="468" customFormat="1" ht="15.75">
      <c r="A62" s="493" t="s">
        <v>17</v>
      </c>
      <c r="B62" s="490" t="s">
        <v>18</v>
      </c>
      <c r="C62" s="491">
        <v>0</v>
      </c>
      <c r="D62" s="491">
        <v>0</v>
      </c>
      <c r="E62" s="491">
        <v>0</v>
      </c>
      <c r="F62" s="491">
        <v>0</v>
      </c>
      <c r="G62" s="491">
        <v>0</v>
      </c>
      <c r="H62" s="491">
        <v>0</v>
      </c>
      <c r="I62" s="491">
        <v>0</v>
      </c>
      <c r="J62" s="491">
        <v>0</v>
      </c>
      <c r="K62" s="491">
        <v>0</v>
      </c>
      <c r="L62" s="491">
        <v>0</v>
      </c>
      <c r="M62" s="491">
        <v>0</v>
      </c>
      <c r="N62" s="491">
        <v>0</v>
      </c>
      <c r="O62" s="492">
        <f>SUM(C62:N62)</f>
        <v>0</v>
      </c>
      <c r="P62" s="467"/>
      <c r="Q62" s="467"/>
    </row>
    <row r="63" spans="1:17" s="470" customFormat="1" ht="15.75">
      <c r="A63" s="493"/>
      <c r="B63" s="494" t="s">
        <v>15</v>
      </c>
      <c r="C63" s="495">
        <f t="shared" ref="C63:H63" si="22">C62*C64</f>
        <v>0</v>
      </c>
      <c r="D63" s="495">
        <f t="shared" si="22"/>
        <v>0</v>
      </c>
      <c r="E63" s="495">
        <f t="shared" si="22"/>
        <v>0</v>
      </c>
      <c r="F63" s="495">
        <f t="shared" si="22"/>
        <v>0</v>
      </c>
      <c r="G63" s="495">
        <f t="shared" si="22"/>
        <v>0</v>
      </c>
      <c r="H63" s="495">
        <f t="shared" si="22"/>
        <v>0</v>
      </c>
      <c r="I63" s="495">
        <f t="shared" ref="I63:N63" si="23">I62*I64</f>
        <v>0</v>
      </c>
      <c r="J63" s="495">
        <f t="shared" si="23"/>
        <v>0</v>
      </c>
      <c r="K63" s="495">
        <f t="shared" si="23"/>
        <v>0</v>
      </c>
      <c r="L63" s="495">
        <f t="shared" si="23"/>
        <v>0</v>
      </c>
      <c r="M63" s="495">
        <f t="shared" si="23"/>
        <v>0</v>
      </c>
      <c r="N63" s="495">
        <f t="shared" si="23"/>
        <v>0</v>
      </c>
      <c r="O63" s="496">
        <f>SUM(C63:N63)</f>
        <v>0</v>
      </c>
      <c r="P63" s="469"/>
      <c r="Q63" s="469"/>
    </row>
    <row r="64" spans="1:17" s="472" customFormat="1" ht="15.75">
      <c r="A64" s="493"/>
      <c r="B64" s="498" t="s">
        <v>16</v>
      </c>
      <c r="C64" s="503">
        <v>0</v>
      </c>
      <c r="D64" s="503">
        <v>0</v>
      </c>
      <c r="E64" s="503">
        <v>0</v>
      </c>
      <c r="F64" s="503">
        <v>0</v>
      </c>
      <c r="G64" s="503">
        <v>0</v>
      </c>
      <c r="H64" s="503">
        <v>0</v>
      </c>
      <c r="I64" s="503">
        <v>0</v>
      </c>
      <c r="J64" s="503">
        <v>0</v>
      </c>
      <c r="K64" s="503">
        <v>0</v>
      </c>
      <c r="L64" s="503">
        <v>0</v>
      </c>
      <c r="M64" s="503">
        <v>0</v>
      </c>
      <c r="N64" s="503">
        <v>0</v>
      </c>
      <c r="O64" s="504">
        <v>0</v>
      </c>
      <c r="P64" s="471"/>
      <c r="Q64" s="471"/>
    </row>
    <row r="65" spans="1:17" s="468" customFormat="1" ht="15.75">
      <c r="A65" s="493"/>
      <c r="B65" s="490" t="s">
        <v>174</v>
      </c>
      <c r="C65" s="505">
        <f t="shared" ref="C65:L65" si="24">(C62*138000)/1000</f>
        <v>0</v>
      </c>
      <c r="D65" s="505">
        <f t="shared" si="24"/>
        <v>0</v>
      </c>
      <c r="E65" s="505">
        <f t="shared" si="24"/>
        <v>0</v>
      </c>
      <c r="F65" s="505">
        <f t="shared" si="24"/>
        <v>0</v>
      </c>
      <c r="G65" s="505">
        <f t="shared" si="24"/>
        <v>0</v>
      </c>
      <c r="H65" s="505">
        <f t="shared" si="24"/>
        <v>0</v>
      </c>
      <c r="I65" s="505">
        <f t="shared" si="24"/>
        <v>0</v>
      </c>
      <c r="J65" s="505">
        <f t="shared" si="24"/>
        <v>0</v>
      </c>
      <c r="K65" s="505">
        <f t="shared" si="24"/>
        <v>0</v>
      </c>
      <c r="L65" s="505">
        <f t="shared" si="24"/>
        <v>0</v>
      </c>
      <c r="M65" s="505">
        <f>(M62*138000)/1000</f>
        <v>0</v>
      </c>
      <c r="N65" s="505">
        <f>(N62*138000)/1000</f>
        <v>0</v>
      </c>
      <c r="O65" s="506">
        <f>SUM(C65:N65)</f>
        <v>0</v>
      </c>
      <c r="P65" s="467"/>
      <c r="Q65" s="467"/>
    </row>
    <row r="66" spans="1:17" s="146" customFormat="1" ht="15.75">
      <c r="A66" s="493"/>
      <c r="B66" s="489"/>
      <c r="C66" s="507"/>
      <c r="D66" s="507"/>
      <c r="E66" s="507"/>
      <c r="F66" s="507"/>
      <c r="G66" s="507"/>
      <c r="H66" s="507"/>
      <c r="I66" s="507"/>
      <c r="J66" s="507"/>
      <c r="K66" s="507"/>
      <c r="L66" s="507"/>
      <c r="M66" s="507"/>
      <c r="N66" s="507"/>
      <c r="O66" s="508"/>
      <c r="P66" s="474"/>
      <c r="Q66" s="473"/>
    </row>
    <row r="67" spans="1:17" s="468" customFormat="1" ht="15.75">
      <c r="A67" s="489" t="s">
        <v>19</v>
      </c>
      <c r="B67" s="490" t="s">
        <v>18</v>
      </c>
      <c r="C67" s="491">
        <v>0</v>
      </c>
      <c r="D67" s="491">
        <v>0</v>
      </c>
      <c r="E67" s="491">
        <v>0</v>
      </c>
      <c r="F67" s="491">
        <v>0</v>
      </c>
      <c r="G67" s="491">
        <v>0</v>
      </c>
      <c r="H67" s="491">
        <v>0</v>
      </c>
      <c r="I67" s="491">
        <v>0</v>
      </c>
      <c r="J67" s="491">
        <v>0</v>
      </c>
      <c r="K67" s="491">
        <v>0</v>
      </c>
      <c r="L67" s="491">
        <v>0</v>
      </c>
      <c r="M67" s="491">
        <v>0</v>
      </c>
      <c r="N67" s="491">
        <v>0</v>
      </c>
      <c r="O67" s="492">
        <f>SUM(C67:N67)</f>
        <v>0</v>
      </c>
      <c r="P67" s="467"/>
      <c r="Q67" s="467"/>
    </row>
    <row r="68" spans="1:17" s="470" customFormat="1" ht="15.75">
      <c r="A68" s="493"/>
      <c r="B68" s="494" t="s">
        <v>15</v>
      </c>
      <c r="C68" s="495">
        <f t="shared" ref="C68:N68" si="25">C67*C69</f>
        <v>0</v>
      </c>
      <c r="D68" s="495">
        <f t="shared" si="25"/>
        <v>0</v>
      </c>
      <c r="E68" s="495">
        <f t="shared" si="25"/>
        <v>0</v>
      </c>
      <c r="F68" s="495">
        <f t="shared" si="25"/>
        <v>0</v>
      </c>
      <c r="G68" s="495">
        <f t="shared" si="25"/>
        <v>0</v>
      </c>
      <c r="H68" s="495">
        <f t="shared" si="25"/>
        <v>0</v>
      </c>
      <c r="I68" s="495">
        <f t="shared" si="25"/>
        <v>0</v>
      </c>
      <c r="J68" s="495">
        <f t="shared" si="25"/>
        <v>0</v>
      </c>
      <c r="K68" s="495">
        <f t="shared" si="25"/>
        <v>0</v>
      </c>
      <c r="L68" s="495">
        <f t="shared" si="25"/>
        <v>0</v>
      </c>
      <c r="M68" s="495">
        <f t="shared" si="25"/>
        <v>0</v>
      </c>
      <c r="N68" s="495">
        <f t="shared" si="25"/>
        <v>0</v>
      </c>
      <c r="O68" s="496">
        <f>SUM(C68:N68)</f>
        <v>0</v>
      </c>
      <c r="P68" s="469"/>
      <c r="Q68" s="469"/>
    </row>
    <row r="69" spans="1:17" s="472" customFormat="1" ht="15.75">
      <c r="A69" s="493"/>
      <c r="B69" s="498" t="s">
        <v>16</v>
      </c>
      <c r="C69" s="509">
        <v>0</v>
      </c>
      <c r="D69" s="509">
        <v>0</v>
      </c>
      <c r="E69" s="509">
        <v>0</v>
      </c>
      <c r="F69" s="509">
        <v>0</v>
      </c>
      <c r="G69" s="509">
        <v>0</v>
      </c>
      <c r="H69" s="509">
        <v>0</v>
      </c>
      <c r="I69" s="509">
        <v>0</v>
      </c>
      <c r="J69" s="509">
        <v>0</v>
      </c>
      <c r="K69" s="509">
        <v>0</v>
      </c>
      <c r="L69" s="509">
        <v>0</v>
      </c>
      <c r="M69" s="509">
        <v>0</v>
      </c>
      <c r="N69" s="509">
        <v>0</v>
      </c>
      <c r="O69" s="510">
        <v>0</v>
      </c>
      <c r="P69" s="471"/>
      <c r="Q69" s="471"/>
    </row>
    <row r="70" spans="1:17" s="468" customFormat="1" ht="15.75">
      <c r="A70" s="493"/>
      <c r="B70" s="490" t="s">
        <v>174</v>
      </c>
      <c r="C70" s="491">
        <f>(C67*150000)/1000</f>
        <v>0</v>
      </c>
      <c r="D70" s="491">
        <f t="shared" ref="D70:N70" si="26">(D67*150000)/1000</f>
        <v>0</v>
      </c>
      <c r="E70" s="491">
        <f t="shared" si="26"/>
        <v>0</v>
      </c>
      <c r="F70" s="491">
        <f t="shared" si="26"/>
        <v>0</v>
      </c>
      <c r="G70" s="491">
        <f t="shared" si="26"/>
        <v>0</v>
      </c>
      <c r="H70" s="491">
        <f t="shared" si="26"/>
        <v>0</v>
      </c>
      <c r="I70" s="491">
        <f t="shared" si="26"/>
        <v>0</v>
      </c>
      <c r="J70" s="491">
        <f t="shared" si="26"/>
        <v>0</v>
      </c>
      <c r="K70" s="491">
        <f t="shared" si="26"/>
        <v>0</v>
      </c>
      <c r="L70" s="491">
        <f t="shared" si="26"/>
        <v>0</v>
      </c>
      <c r="M70" s="491">
        <f t="shared" si="26"/>
        <v>0</v>
      </c>
      <c r="N70" s="491">
        <f t="shared" si="26"/>
        <v>0</v>
      </c>
      <c r="O70" s="492">
        <f>SUM(C70:N70)</f>
        <v>0</v>
      </c>
      <c r="P70" s="467"/>
      <c r="Q70" s="467"/>
    </row>
    <row r="71" spans="1:17" s="146" customFormat="1" ht="15.75">
      <c r="A71" s="493"/>
      <c r="B71" s="489"/>
      <c r="C71" s="511"/>
      <c r="D71" s="511"/>
      <c r="E71" s="511"/>
      <c r="F71" s="511"/>
      <c r="G71" s="511"/>
      <c r="H71" s="511"/>
      <c r="I71" s="511"/>
      <c r="J71" s="511"/>
      <c r="K71" s="511"/>
      <c r="L71" s="511"/>
      <c r="M71" s="511"/>
      <c r="N71" s="511"/>
      <c r="O71" s="512"/>
      <c r="P71" s="475"/>
      <c r="Q71" s="147"/>
    </row>
    <row r="72" spans="1:17" s="468" customFormat="1" ht="15.75">
      <c r="A72" s="489" t="s">
        <v>138</v>
      </c>
      <c r="B72" s="490" t="s">
        <v>292</v>
      </c>
      <c r="C72" s="491">
        <f>SUM(C60+C65+C70)</f>
        <v>0</v>
      </c>
      <c r="D72" s="491">
        <f>SUM(D60+D65+D70)</f>
        <v>0</v>
      </c>
      <c r="E72" s="491">
        <f t="shared" ref="E72:N72" si="27">SUM(E60+E65+E70)</f>
        <v>0</v>
      </c>
      <c r="F72" s="491">
        <f t="shared" si="27"/>
        <v>119000</v>
      </c>
      <c r="G72" s="491">
        <f t="shared" si="27"/>
        <v>4726000</v>
      </c>
      <c r="H72" s="491">
        <f t="shared" si="27"/>
        <v>9983000</v>
      </c>
      <c r="I72" s="491">
        <f>SUM(I60+I65+I70)</f>
        <v>12738000</v>
      </c>
      <c r="J72" s="491">
        <f>SUM(J60+J65+J70)</f>
        <v>12291000</v>
      </c>
      <c r="K72" s="491">
        <f t="shared" si="27"/>
        <v>11934000</v>
      </c>
      <c r="L72" s="491">
        <f t="shared" si="27"/>
        <v>6124000</v>
      </c>
      <c r="M72" s="491">
        <f t="shared" si="27"/>
        <v>5408000</v>
      </c>
      <c r="N72" s="491">
        <f t="shared" si="27"/>
        <v>1268000</v>
      </c>
      <c r="O72" s="492">
        <f>SUM(C72:N72)</f>
        <v>64591000</v>
      </c>
      <c r="P72" s="467"/>
      <c r="Q72" s="467"/>
    </row>
    <row r="73" spans="1:17" s="470" customFormat="1" ht="15.75">
      <c r="A73" s="493" t="s">
        <v>137</v>
      </c>
      <c r="B73" s="513"/>
      <c r="C73" s="514">
        <f t="shared" ref="C73:M73" si="28">SUM(C58+C63+C68)</f>
        <v>311.17</v>
      </c>
      <c r="D73" s="514">
        <f t="shared" si="28"/>
        <v>311.17</v>
      </c>
      <c r="E73" s="514">
        <f t="shared" si="28"/>
        <v>311.17</v>
      </c>
      <c r="F73" s="514">
        <f t="shared" si="28"/>
        <v>921</v>
      </c>
      <c r="G73" s="514">
        <f t="shared" si="28"/>
        <v>24175</v>
      </c>
      <c r="H73" s="514">
        <f t="shared" si="28"/>
        <v>52924.13</v>
      </c>
      <c r="I73" s="514">
        <f t="shared" si="28"/>
        <v>66790</v>
      </c>
      <c r="J73" s="514">
        <f t="shared" si="28"/>
        <v>60419</v>
      </c>
      <c r="K73" s="514">
        <f t="shared" si="28"/>
        <v>56345</v>
      </c>
      <c r="L73" s="514">
        <f t="shared" si="28"/>
        <v>28973</v>
      </c>
      <c r="M73" s="514">
        <f t="shared" si="28"/>
        <v>20384.2</v>
      </c>
      <c r="N73" s="514">
        <f>SUM(N58+N63+N68)</f>
        <v>4172</v>
      </c>
      <c r="O73" s="500">
        <f>SUM(C73:N73)</f>
        <v>316036.84000000003</v>
      </c>
      <c r="P73" s="476"/>
      <c r="Q73" s="469"/>
    </row>
    <row r="74" spans="1:17" s="146" customFormat="1" ht="15.75">
      <c r="A74" s="493"/>
      <c r="B74" s="493"/>
      <c r="C74" s="483"/>
      <c r="D74" s="483"/>
      <c r="E74" s="483"/>
      <c r="F74" s="483"/>
      <c r="G74" s="483"/>
      <c r="H74" s="483"/>
      <c r="I74" s="483"/>
      <c r="J74" s="483"/>
      <c r="K74" s="483"/>
      <c r="L74" s="483"/>
      <c r="M74" s="483"/>
      <c r="N74" s="483"/>
      <c r="O74" s="493"/>
      <c r="P74" s="147"/>
      <c r="Q74" s="475"/>
    </row>
    <row r="75" spans="1:17" s="468" customFormat="1" ht="15.75">
      <c r="A75" s="489" t="s">
        <v>20</v>
      </c>
      <c r="B75" s="490" t="s">
        <v>21</v>
      </c>
      <c r="C75" s="491">
        <v>571200</v>
      </c>
      <c r="D75" s="491">
        <v>630000</v>
      </c>
      <c r="E75" s="491">
        <v>621600</v>
      </c>
      <c r="F75" s="491">
        <v>732900</v>
      </c>
      <c r="G75" s="491">
        <v>814800</v>
      </c>
      <c r="H75" s="491">
        <v>890400</v>
      </c>
      <c r="I75" s="491">
        <v>1056300</v>
      </c>
      <c r="J75" s="491">
        <v>911400</v>
      </c>
      <c r="K75" s="491">
        <v>1016400</v>
      </c>
      <c r="L75" s="491">
        <v>919800</v>
      </c>
      <c r="M75" s="491">
        <v>1016400</v>
      </c>
      <c r="N75" s="491">
        <v>716100</v>
      </c>
      <c r="O75" s="492">
        <f>SUM(C75:N75)</f>
        <v>9897300</v>
      </c>
      <c r="P75" s="467"/>
      <c r="Q75" s="467"/>
    </row>
    <row r="76" spans="1:17" s="468" customFormat="1" ht="15.75">
      <c r="A76" s="515" t="s">
        <v>491</v>
      </c>
      <c r="B76" s="490" t="s">
        <v>22</v>
      </c>
      <c r="C76" s="491">
        <v>29</v>
      </c>
      <c r="D76" s="491">
        <v>30</v>
      </c>
      <c r="E76" s="491">
        <v>30</v>
      </c>
      <c r="F76" s="491">
        <v>31</v>
      </c>
      <c r="G76" s="491">
        <v>29</v>
      </c>
      <c r="H76" s="491">
        <v>29</v>
      </c>
      <c r="I76" s="491">
        <v>35</v>
      </c>
      <c r="J76" s="491">
        <v>31</v>
      </c>
      <c r="K76" s="491">
        <v>30</v>
      </c>
      <c r="L76" s="491">
        <v>29</v>
      </c>
      <c r="M76" s="491">
        <v>33</v>
      </c>
      <c r="N76" s="491">
        <v>28</v>
      </c>
      <c r="O76" s="492">
        <f>SUM(C76:N76)</f>
        <v>364</v>
      </c>
      <c r="P76" s="467"/>
      <c r="Q76" s="467"/>
    </row>
    <row r="77" spans="1:17" s="468" customFormat="1" ht="15.75">
      <c r="A77" s="493"/>
      <c r="B77" s="490" t="s">
        <v>23</v>
      </c>
      <c r="C77" s="491">
        <f t="shared" ref="C77:O77" si="29">(C75/C76)</f>
        <v>19696.551724137931</v>
      </c>
      <c r="D77" s="491">
        <f t="shared" si="29"/>
        <v>21000</v>
      </c>
      <c r="E77" s="491">
        <f t="shared" si="29"/>
        <v>20720</v>
      </c>
      <c r="F77" s="491">
        <f t="shared" si="29"/>
        <v>23641.935483870966</v>
      </c>
      <c r="G77" s="491">
        <f t="shared" si="29"/>
        <v>28096.551724137931</v>
      </c>
      <c r="H77" s="491">
        <f t="shared" si="29"/>
        <v>30703.448275862069</v>
      </c>
      <c r="I77" s="491">
        <f t="shared" si="29"/>
        <v>30180</v>
      </c>
      <c r="J77" s="491">
        <f t="shared" si="29"/>
        <v>29400</v>
      </c>
      <c r="K77" s="491">
        <f t="shared" si="29"/>
        <v>33880</v>
      </c>
      <c r="L77" s="491">
        <f t="shared" si="29"/>
        <v>31717.241379310344</v>
      </c>
      <c r="M77" s="491">
        <f t="shared" si="29"/>
        <v>30800</v>
      </c>
      <c r="N77" s="491">
        <f t="shared" si="29"/>
        <v>25575</v>
      </c>
      <c r="O77" s="492">
        <f t="shared" si="29"/>
        <v>27190.384615384617</v>
      </c>
      <c r="P77" s="467"/>
      <c r="Q77" s="467"/>
    </row>
    <row r="78" spans="1:17" s="470" customFormat="1" ht="15.75">
      <c r="A78" s="489" t="s">
        <v>13</v>
      </c>
      <c r="B78" s="494" t="s">
        <v>15</v>
      </c>
      <c r="C78" s="499">
        <v>47693</v>
      </c>
      <c r="D78" s="499">
        <v>52555</v>
      </c>
      <c r="E78" s="499">
        <v>50178</v>
      </c>
      <c r="F78" s="499">
        <v>61585</v>
      </c>
      <c r="G78" s="499">
        <v>60368</v>
      </c>
      <c r="H78" s="499">
        <v>58715.25</v>
      </c>
      <c r="I78" s="499">
        <v>73828</v>
      </c>
      <c r="J78" s="499">
        <v>66606</v>
      </c>
      <c r="K78" s="499">
        <v>70055</v>
      </c>
      <c r="L78" s="499">
        <v>67251</v>
      </c>
      <c r="M78" s="499">
        <v>68179.039999999994</v>
      </c>
      <c r="N78" s="499">
        <v>51940</v>
      </c>
      <c r="O78" s="496">
        <f>SUM(C78:N78)</f>
        <v>728953.29</v>
      </c>
      <c r="P78" s="469"/>
      <c r="Q78" s="469"/>
    </row>
    <row r="79" spans="1:17" s="472" customFormat="1" ht="15.75">
      <c r="A79" s="497"/>
      <c r="B79" s="498" t="s">
        <v>16</v>
      </c>
      <c r="C79" s="516">
        <f t="shared" ref="C79:O79" si="30">(C78/C75)</f>
        <v>8.3496148459383759E-2</v>
      </c>
      <c r="D79" s="516">
        <f>(D78/D75)</f>
        <v>8.3420634920634923E-2</v>
      </c>
      <c r="E79" s="516">
        <f t="shared" si="30"/>
        <v>8.0723938223938224E-2</v>
      </c>
      <c r="F79" s="516">
        <f t="shared" si="30"/>
        <v>8.4029199072179012E-2</v>
      </c>
      <c r="G79" s="516">
        <f t="shared" si="30"/>
        <v>7.4089347079037804E-2</v>
      </c>
      <c r="H79" s="516">
        <f t="shared" si="30"/>
        <v>6.5942553908355794E-2</v>
      </c>
      <c r="I79" s="516">
        <f t="shared" si="30"/>
        <v>6.9893022815488023E-2</v>
      </c>
      <c r="J79" s="516">
        <f t="shared" si="30"/>
        <v>7.308097432521396E-2</v>
      </c>
      <c r="K79" s="516">
        <f t="shared" si="30"/>
        <v>6.892463597009052E-2</v>
      </c>
      <c r="L79" s="516">
        <f t="shared" si="30"/>
        <v>7.3114807566862366E-2</v>
      </c>
      <c r="M79" s="516">
        <f t="shared" si="30"/>
        <v>6.7078945297127116E-2</v>
      </c>
      <c r="N79" s="516">
        <f t="shared" si="30"/>
        <v>7.2531769305962848E-2</v>
      </c>
      <c r="O79" s="517">
        <f t="shared" si="30"/>
        <v>7.3651732290624716E-2</v>
      </c>
      <c r="P79" s="471"/>
      <c r="Q79" s="471"/>
    </row>
    <row r="80" spans="1:17" s="468" customFormat="1" ht="15.75">
      <c r="A80" s="483" t="s">
        <v>289</v>
      </c>
      <c r="B80" s="490" t="s">
        <v>24</v>
      </c>
      <c r="C80" s="518">
        <v>1245</v>
      </c>
      <c r="D80" s="518">
        <v>1393</v>
      </c>
      <c r="E80" s="518">
        <v>1231</v>
      </c>
      <c r="F80" s="518">
        <v>1575</v>
      </c>
      <c r="G80" s="518">
        <v>1764</v>
      </c>
      <c r="H80" s="518">
        <v>1827</v>
      </c>
      <c r="I80" s="518">
        <v>1827</v>
      </c>
      <c r="J80" s="518">
        <v>1785</v>
      </c>
      <c r="K80" s="518">
        <v>1848</v>
      </c>
      <c r="L80" s="518">
        <v>1848</v>
      </c>
      <c r="M80" s="518">
        <v>1827</v>
      </c>
      <c r="N80" s="518">
        <v>1688</v>
      </c>
      <c r="O80" s="519">
        <f>SUM(C80:N80)/12</f>
        <v>1654.8333333333333</v>
      </c>
      <c r="P80" s="467"/>
      <c r="Q80" s="467"/>
    </row>
    <row r="81" spans="1:17" s="470" customFormat="1" ht="15.75">
      <c r="A81" s="483" t="s">
        <v>289</v>
      </c>
      <c r="B81" s="494" t="s">
        <v>173</v>
      </c>
      <c r="C81" s="499">
        <v>11636</v>
      </c>
      <c r="D81" s="499">
        <v>13345</v>
      </c>
      <c r="E81" s="499">
        <v>11793</v>
      </c>
      <c r="F81" s="499">
        <v>15089</v>
      </c>
      <c r="G81" s="499">
        <v>11729</v>
      </c>
      <c r="H81" s="499">
        <v>11290.86</v>
      </c>
      <c r="I81" s="499">
        <v>11291</v>
      </c>
      <c r="J81" s="499">
        <v>11031</v>
      </c>
      <c r="K81" s="499">
        <v>11421</v>
      </c>
      <c r="L81" s="499">
        <v>11421</v>
      </c>
      <c r="M81" s="499">
        <v>11290.86</v>
      </c>
      <c r="N81" s="499">
        <v>10432</v>
      </c>
      <c r="O81" s="500">
        <f>SUM(C81:N81)</f>
        <v>141769.72</v>
      </c>
      <c r="P81" s="469"/>
      <c r="Q81" s="469"/>
    </row>
    <row r="82" spans="1:17" s="468" customFormat="1" ht="15.75">
      <c r="A82" s="520"/>
      <c r="B82" s="490" t="s">
        <v>174</v>
      </c>
      <c r="C82" s="505">
        <f t="shared" ref="C82:O82" si="31">SUM(3412*C75)/1000</f>
        <v>1948934.4</v>
      </c>
      <c r="D82" s="505">
        <f t="shared" si="31"/>
        <v>2149560</v>
      </c>
      <c r="E82" s="505">
        <f t="shared" si="31"/>
        <v>2120899.2000000002</v>
      </c>
      <c r="F82" s="505">
        <f t="shared" si="31"/>
        <v>2500654.7999999998</v>
      </c>
      <c r="G82" s="505">
        <f t="shared" si="31"/>
        <v>2780097.6</v>
      </c>
      <c r="H82" s="505">
        <f t="shared" si="31"/>
        <v>3038044.8</v>
      </c>
      <c r="I82" s="505">
        <f t="shared" si="31"/>
        <v>3604095.6</v>
      </c>
      <c r="J82" s="505">
        <f t="shared" si="31"/>
        <v>3109696.8</v>
      </c>
      <c r="K82" s="505">
        <f>SUM(3412*K75)/1000</f>
        <v>3467956.8</v>
      </c>
      <c r="L82" s="505">
        <f t="shared" si="31"/>
        <v>3138357.6</v>
      </c>
      <c r="M82" s="505">
        <f t="shared" si="31"/>
        <v>3467956.8</v>
      </c>
      <c r="N82" s="505">
        <f t="shared" si="31"/>
        <v>2443333.2000000002</v>
      </c>
      <c r="O82" s="506">
        <f t="shared" si="31"/>
        <v>33769587.600000001</v>
      </c>
      <c r="P82" s="467"/>
      <c r="Q82" s="477">
        <f>(Q79*135000)/1000</f>
        <v>0</v>
      </c>
    </row>
    <row r="83" spans="1:17" s="468" customFormat="1" ht="15.75">
      <c r="A83" s="520"/>
      <c r="B83" s="490"/>
      <c r="C83" s="505"/>
      <c r="D83" s="505"/>
      <c r="E83" s="505"/>
      <c r="F83" s="505"/>
      <c r="G83" s="505"/>
      <c r="H83" s="505"/>
      <c r="I83" s="505"/>
      <c r="J83" s="505"/>
      <c r="K83" s="505"/>
      <c r="L83" s="505"/>
      <c r="M83" s="505"/>
      <c r="N83" s="505"/>
      <c r="O83" s="506"/>
      <c r="P83" s="467"/>
      <c r="Q83" s="477"/>
    </row>
    <row r="84" spans="1:17" s="468" customFormat="1" ht="15.75">
      <c r="A84" s="489" t="s">
        <v>20</v>
      </c>
      <c r="B84" s="490" t="s">
        <v>21</v>
      </c>
      <c r="C84" s="505">
        <v>240800</v>
      </c>
      <c r="D84" s="505">
        <v>383600</v>
      </c>
      <c r="E84" s="505">
        <v>357000</v>
      </c>
      <c r="F84" s="505">
        <v>242200</v>
      </c>
      <c r="G84" s="505">
        <v>148400</v>
      </c>
      <c r="H84" s="505">
        <v>28000</v>
      </c>
      <c r="I84" s="505">
        <v>23800</v>
      </c>
      <c r="J84" s="505">
        <v>18200</v>
      </c>
      <c r="K84" s="505">
        <v>9800</v>
      </c>
      <c r="L84" s="505">
        <v>11200</v>
      </c>
      <c r="M84" s="505">
        <v>9800</v>
      </c>
      <c r="N84" s="505">
        <v>84000</v>
      </c>
      <c r="O84" s="492">
        <f t="shared" ref="O84:O90" si="32">SUM(C84:N84)</f>
        <v>1556800</v>
      </c>
      <c r="P84" s="467"/>
      <c r="Q84" s="477"/>
    </row>
    <row r="85" spans="1:17" s="468" customFormat="1" ht="15.75">
      <c r="A85" s="515" t="s">
        <v>492</v>
      </c>
      <c r="B85" s="490" t="s">
        <v>22</v>
      </c>
      <c r="C85" s="505">
        <v>29</v>
      </c>
      <c r="D85" s="505">
        <v>30</v>
      </c>
      <c r="E85" s="505">
        <v>31</v>
      </c>
      <c r="F85" s="505">
        <v>30</v>
      </c>
      <c r="G85" s="505">
        <v>29</v>
      </c>
      <c r="H85" s="505">
        <v>29</v>
      </c>
      <c r="I85" s="505">
        <v>35</v>
      </c>
      <c r="J85" s="505">
        <v>31</v>
      </c>
      <c r="K85" s="505">
        <v>30</v>
      </c>
      <c r="L85" s="505">
        <v>29</v>
      </c>
      <c r="M85" s="505">
        <v>33</v>
      </c>
      <c r="N85" s="505">
        <v>28</v>
      </c>
      <c r="O85" s="492">
        <f t="shared" si="32"/>
        <v>364</v>
      </c>
      <c r="P85" s="467"/>
      <c r="Q85" s="477"/>
    </row>
    <row r="86" spans="1:17" s="468" customFormat="1" ht="15.75">
      <c r="A86" s="493"/>
      <c r="B86" s="490" t="s">
        <v>23</v>
      </c>
      <c r="C86" s="505">
        <f t="shared" ref="C86:O86" si="33">C84/C85</f>
        <v>8303.4482758620688</v>
      </c>
      <c r="D86" s="505">
        <f t="shared" si="33"/>
        <v>12786.666666666666</v>
      </c>
      <c r="E86" s="505">
        <f t="shared" si="33"/>
        <v>11516.129032258064</v>
      </c>
      <c r="F86" s="505">
        <f t="shared" si="33"/>
        <v>8073.333333333333</v>
      </c>
      <c r="G86" s="505">
        <f t="shared" si="33"/>
        <v>5117.2413793103451</v>
      </c>
      <c r="H86" s="505">
        <f t="shared" si="33"/>
        <v>965.51724137931035</v>
      </c>
      <c r="I86" s="505">
        <f t="shared" si="33"/>
        <v>680</v>
      </c>
      <c r="J86" s="505">
        <f t="shared" si="33"/>
        <v>587.09677419354841</v>
      </c>
      <c r="K86" s="505">
        <f t="shared" si="33"/>
        <v>326.66666666666669</v>
      </c>
      <c r="L86" s="505">
        <f t="shared" si="33"/>
        <v>386.20689655172413</v>
      </c>
      <c r="M86" s="505">
        <f t="shared" si="33"/>
        <v>296.969696969697</v>
      </c>
      <c r="N86" s="505">
        <f t="shared" si="33"/>
        <v>3000</v>
      </c>
      <c r="O86" s="505">
        <f t="shared" si="33"/>
        <v>4276.9230769230771</v>
      </c>
      <c r="P86" s="467"/>
      <c r="Q86" s="477"/>
    </row>
    <row r="87" spans="1:17" s="468" customFormat="1" ht="15.75">
      <c r="A87" s="489" t="s">
        <v>13</v>
      </c>
      <c r="B87" s="494" t="s">
        <v>15</v>
      </c>
      <c r="C87" s="499">
        <v>27028</v>
      </c>
      <c r="D87" s="499">
        <v>43209</v>
      </c>
      <c r="E87" s="499">
        <v>34332</v>
      </c>
      <c r="F87" s="499">
        <v>28186</v>
      </c>
      <c r="G87" s="499">
        <v>16054</v>
      </c>
      <c r="H87" s="499">
        <v>3940.39</v>
      </c>
      <c r="I87" s="499">
        <v>3213</v>
      </c>
      <c r="J87" s="499">
        <v>2660</v>
      </c>
      <c r="K87" s="499">
        <v>1447</v>
      </c>
      <c r="L87" s="499">
        <v>1701</v>
      </c>
      <c r="M87" s="499">
        <v>1332.91</v>
      </c>
      <c r="N87" s="499">
        <v>11919</v>
      </c>
      <c r="O87" s="496">
        <f t="shared" si="32"/>
        <v>175022.30000000002</v>
      </c>
      <c r="P87" s="467"/>
      <c r="Q87" s="477"/>
    </row>
    <row r="88" spans="1:17" s="468" customFormat="1" ht="15.75">
      <c r="A88" s="497"/>
      <c r="B88" s="498" t="s">
        <v>16</v>
      </c>
      <c r="C88" s="521">
        <f>(C87/C84)</f>
        <v>0.11224252491694352</v>
      </c>
      <c r="D88" s="521">
        <f>(D87/D84)</f>
        <v>0.11264077163712201</v>
      </c>
      <c r="E88" s="521">
        <f>E87/E84</f>
        <v>9.6168067226890752E-2</v>
      </c>
      <c r="F88" s="521">
        <f>F87/F84</f>
        <v>0.11637489677952105</v>
      </c>
      <c r="G88" s="521">
        <f t="shared" ref="G88:O88" si="34">G87/G84</f>
        <v>0.10818059299191375</v>
      </c>
      <c r="H88" s="521">
        <f t="shared" si="34"/>
        <v>0.14072821428571428</v>
      </c>
      <c r="I88" s="521">
        <f t="shared" si="34"/>
        <v>0.13500000000000001</v>
      </c>
      <c r="J88" s="521">
        <f t="shared" si="34"/>
        <v>0.14615384615384616</v>
      </c>
      <c r="K88" s="521">
        <f t="shared" si="34"/>
        <v>0.14765306122448979</v>
      </c>
      <c r="L88" s="521">
        <f t="shared" si="34"/>
        <v>0.15187500000000001</v>
      </c>
      <c r="M88" s="521">
        <f t="shared" si="34"/>
        <v>0.13601122448979594</v>
      </c>
      <c r="N88" s="521">
        <f t="shared" si="34"/>
        <v>0.14189285714285715</v>
      </c>
      <c r="O88" s="521">
        <f t="shared" si="34"/>
        <v>0.11242439619732786</v>
      </c>
      <c r="P88" s="467"/>
      <c r="Q88" s="477"/>
    </row>
    <row r="89" spans="1:17" s="468" customFormat="1" ht="15.75">
      <c r="A89" s="483" t="s">
        <v>289</v>
      </c>
      <c r="B89" s="490" t="s">
        <v>24</v>
      </c>
      <c r="C89" s="505">
        <v>1059</v>
      </c>
      <c r="D89" s="505">
        <v>1713</v>
      </c>
      <c r="E89" s="505">
        <v>1094</v>
      </c>
      <c r="F89" s="505">
        <v>1109</v>
      </c>
      <c r="G89" s="505">
        <v>857</v>
      </c>
      <c r="H89" s="505">
        <v>290</v>
      </c>
      <c r="I89" s="505">
        <v>204</v>
      </c>
      <c r="J89" s="505">
        <v>176</v>
      </c>
      <c r="K89" s="518">
        <v>98</v>
      </c>
      <c r="L89" s="505">
        <v>116</v>
      </c>
      <c r="M89" s="505">
        <v>89</v>
      </c>
      <c r="N89" s="505">
        <v>857</v>
      </c>
      <c r="O89" s="492">
        <f t="shared" si="32"/>
        <v>7662</v>
      </c>
      <c r="P89" s="467"/>
      <c r="Q89" s="477"/>
    </row>
    <row r="90" spans="1:17" s="468" customFormat="1" ht="15.75">
      <c r="A90" s="483" t="s">
        <v>289</v>
      </c>
      <c r="B90" s="494" t="s">
        <v>173</v>
      </c>
      <c r="C90" s="499">
        <v>9897</v>
      </c>
      <c r="D90" s="499">
        <v>16411</v>
      </c>
      <c r="E90" s="499">
        <v>10481</v>
      </c>
      <c r="F90" s="499">
        <v>10624</v>
      </c>
      <c r="G90" s="499">
        <v>5698</v>
      </c>
      <c r="H90" s="499">
        <v>1792.2</v>
      </c>
      <c r="I90" s="499">
        <v>1261</v>
      </c>
      <c r="J90" s="499">
        <v>1088</v>
      </c>
      <c r="K90" s="499">
        <v>606</v>
      </c>
      <c r="L90" s="499">
        <v>717</v>
      </c>
      <c r="M90" s="499">
        <v>550.02</v>
      </c>
      <c r="N90" s="499">
        <v>5296</v>
      </c>
      <c r="O90" s="492">
        <f t="shared" si="32"/>
        <v>64421.219999999994</v>
      </c>
      <c r="P90" s="467"/>
      <c r="Q90" s="477"/>
    </row>
    <row r="91" spans="1:17" s="468" customFormat="1" ht="15.75">
      <c r="A91" s="520"/>
      <c r="B91" s="490" t="s">
        <v>174</v>
      </c>
      <c r="C91" s="505">
        <f>SUM(3412*C84)/1000</f>
        <v>821609.6</v>
      </c>
      <c r="D91" s="505">
        <f t="shared" ref="D91:O91" si="35">SUM(3412*D84)/1000</f>
        <v>1308843.2</v>
      </c>
      <c r="E91" s="505">
        <f t="shared" si="35"/>
        <v>1218084</v>
      </c>
      <c r="F91" s="505">
        <f t="shared" si="35"/>
        <v>826386.4</v>
      </c>
      <c r="G91" s="505">
        <f t="shared" si="35"/>
        <v>506340.8</v>
      </c>
      <c r="H91" s="505">
        <f t="shared" si="35"/>
        <v>95536</v>
      </c>
      <c r="I91" s="505">
        <f t="shared" si="35"/>
        <v>81205.600000000006</v>
      </c>
      <c r="J91" s="505">
        <f t="shared" si="35"/>
        <v>62098.400000000001</v>
      </c>
      <c r="K91" s="505">
        <f t="shared" si="35"/>
        <v>33437.599999999999</v>
      </c>
      <c r="L91" s="505">
        <f t="shared" si="35"/>
        <v>38214.400000000001</v>
      </c>
      <c r="M91" s="505">
        <f t="shared" si="35"/>
        <v>33437.599999999999</v>
      </c>
      <c r="N91" s="505">
        <f t="shared" si="35"/>
        <v>286608</v>
      </c>
      <c r="O91" s="505">
        <f t="shared" si="35"/>
        <v>5311801.5999999996</v>
      </c>
      <c r="P91" s="467"/>
      <c r="Q91" s="477"/>
    </row>
    <row r="92" spans="1:17" s="468" customFormat="1" ht="15.75">
      <c r="A92" s="520"/>
      <c r="B92" s="490"/>
      <c r="C92" s="505"/>
      <c r="D92" s="505"/>
      <c r="E92" s="505"/>
      <c r="F92" s="505"/>
      <c r="G92" s="505"/>
      <c r="H92" s="505"/>
      <c r="I92" s="505"/>
      <c r="J92" s="505"/>
      <c r="K92" s="505"/>
      <c r="L92" s="505"/>
      <c r="M92" s="505"/>
      <c r="N92" s="505"/>
      <c r="O92" s="506"/>
      <c r="P92" s="467"/>
      <c r="Q92" s="477"/>
    </row>
    <row r="93" spans="1:17" s="468" customFormat="1" ht="15.75">
      <c r="A93" s="520" t="s">
        <v>393</v>
      </c>
      <c r="B93" s="490" t="s">
        <v>21</v>
      </c>
      <c r="C93" s="505">
        <f>(C75+C84)</f>
        <v>812000</v>
      </c>
      <c r="D93" s="505">
        <f t="shared" ref="D93:N93" si="36">(D75+D84)</f>
        <v>1013600</v>
      </c>
      <c r="E93" s="505">
        <f t="shared" si="36"/>
        <v>978600</v>
      </c>
      <c r="F93" s="505">
        <f t="shared" si="36"/>
        <v>975100</v>
      </c>
      <c r="G93" s="505">
        <f t="shared" si="36"/>
        <v>963200</v>
      </c>
      <c r="H93" s="505">
        <f t="shared" si="36"/>
        <v>918400</v>
      </c>
      <c r="I93" s="505">
        <f t="shared" si="36"/>
        <v>1080100</v>
      </c>
      <c r="J93" s="505">
        <f t="shared" si="36"/>
        <v>929600</v>
      </c>
      <c r="K93" s="505">
        <f t="shared" si="36"/>
        <v>1026200</v>
      </c>
      <c r="L93" s="505">
        <f t="shared" si="36"/>
        <v>931000</v>
      </c>
      <c r="M93" s="505">
        <f t="shared" si="36"/>
        <v>1026200</v>
      </c>
      <c r="N93" s="505">
        <f t="shared" si="36"/>
        <v>800100</v>
      </c>
      <c r="O93" s="492">
        <f>SUM(C93:N93)</f>
        <v>11454100</v>
      </c>
      <c r="P93" s="467"/>
      <c r="Q93" s="477"/>
    </row>
    <row r="94" spans="1:17" s="468" customFormat="1" ht="15.75">
      <c r="A94" s="520"/>
      <c r="B94" s="490" t="s">
        <v>16</v>
      </c>
      <c r="C94" s="522">
        <f t="shared" ref="C94:O94" si="37">(C95/C93)</f>
        <v>9.2020935960591133E-2</v>
      </c>
      <c r="D94" s="522">
        <f t="shared" si="37"/>
        <v>9.4479084451460138E-2</v>
      </c>
      <c r="E94" s="522">
        <f t="shared" si="37"/>
        <v>8.6358062538320055E-2</v>
      </c>
      <c r="F94" s="522">
        <f t="shared" si="37"/>
        <v>9.2063378115065125E-2</v>
      </c>
      <c r="G94" s="522">
        <f t="shared" si="37"/>
        <v>7.9341777408637876E-2</v>
      </c>
      <c r="H94" s="522">
        <f t="shared" si="37"/>
        <v>6.8222604529616718E-2</v>
      </c>
      <c r="I94" s="522">
        <f t="shared" si="37"/>
        <v>7.1327654846773447E-2</v>
      </c>
      <c r="J94" s="522">
        <f t="shared" si="37"/>
        <v>7.451161790017212E-2</v>
      </c>
      <c r="K94" s="522">
        <f t="shared" si="37"/>
        <v>6.9676476320405384E-2</v>
      </c>
      <c r="L94" s="522">
        <f t="shared" si="37"/>
        <v>7.4062298603651988E-2</v>
      </c>
      <c r="M94" s="522">
        <f t="shared" si="37"/>
        <v>6.773723445722081E-2</v>
      </c>
      <c r="N94" s="522">
        <f t="shared" si="37"/>
        <v>7.9813773278340203E-2</v>
      </c>
      <c r="O94" s="522">
        <f t="shared" si="37"/>
        <v>7.8921573061174602E-2</v>
      </c>
      <c r="P94" s="467"/>
      <c r="Q94" s="477"/>
    </row>
    <row r="95" spans="1:17" s="468" customFormat="1" ht="15.75">
      <c r="A95" s="520"/>
      <c r="B95" s="494" t="s">
        <v>15</v>
      </c>
      <c r="C95" s="499">
        <f>(C78+C87)</f>
        <v>74721</v>
      </c>
      <c r="D95" s="499">
        <f t="shared" ref="D95:N95" si="38">(D78+D87)</f>
        <v>95764</v>
      </c>
      <c r="E95" s="499">
        <f t="shared" si="38"/>
        <v>84510</v>
      </c>
      <c r="F95" s="499">
        <f t="shared" si="38"/>
        <v>89771</v>
      </c>
      <c r="G95" s="499">
        <f t="shared" si="38"/>
        <v>76422</v>
      </c>
      <c r="H95" s="499">
        <f t="shared" si="38"/>
        <v>62655.64</v>
      </c>
      <c r="I95" s="523">
        <f t="shared" si="38"/>
        <v>77041</v>
      </c>
      <c r="J95" s="523">
        <f t="shared" si="38"/>
        <v>69266</v>
      </c>
      <c r="K95" s="523">
        <f t="shared" si="38"/>
        <v>71502</v>
      </c>
      <c r="L95" s="523">
        <f t="shared" si="38"/>
        <v>68952</v>
      </c>
      <c r="M95" s="523">
        <f t="shared" si="38"/>
        <v>69511.95</v>
      </c>
      <c r="N95" s="523">
        <f t="shared" si="38"/>
        <v>63859</v>
      </c>
      <c r="O95" s="496">
        <f>SUM(C95:N95)</f>
        <v>903975.59</v>
      </c>
      <c r="P95" s="467"/>
      <c r="Q95" s="477"/>
    </row>
    <row r="96" spans="1:17" s="146" customFormat="1" ht="15.75">
      <c r="A96" s="493"/>
      <c r="B96" s="524"/>
      <c r="C96" s="525"/>
      <c r="D96" s="525"/>
      <c r="E96" s="525"/>
      <c r="F96" s="525"/>
      <c r="G96" s="525"/>
      <c r="H96" s="525"/>
      <c r="I96" s="525"/>
      <c r="J96" s="525"/>
      <c r="K96" s="525"/>
      <c r="L96" s="525"/>
      <c r="M96" s="525"/>
      <c r="N96" s="525" t="s">
        <v>13</v>
      </c>
      <c r="O96" s="525"/>
      <c r="P96" s="478"/>
      <c r="Q96" s="147"/>
    </row>
    <row r="97" spans="1:17" s="468" customFormat="1" ht="15.75">
      <c r="A97" s="526" t="s">
        <v>293</v>
      </c>
      <c r="B97" s="490"/>
      <c r="C97" s="527">
        <f>SUM(C72,C82,C91)/1000</f>
        <v>2770.5439999999999</v>
      </c>
      <c r="D97" s="527">
        <f t="shared" ref="D97:O97" si="39">SUM(D72,D82,D91)/1000</f>
        <v>3458.4032000000002</v>
      </c>
      <c r="E97" s="527">
        <f t="shared" si="39"/>
        <v>3338.9832000000001</v>
      </c>
      <c r="F97" s="527">
        <f t="shared" si="39"/>
        <v>3446.0411999999997</v>
      </c>
      <c r="G97" s="527">
        <f t="shared" si="39"/>
        <v>8012.4383999999991</v>
      </c>
      <c r="H97" s="527">
        <f t="shared" si="39"/>
        <v>13116.580800000002</v>
      </c>
      <c r="I97" s="527">
        <f t="shared" si="39"/>
        <v>16423.301199999998</v>
      </c>
      <c r="J97" s="527">
        <f t="shared" si="39"/>
        <v>15462.7952</v>
      </c>
      <c r="K97" s="527">
        <f t="shared" si="39"/>
        <v>15435.394400000001</v>
      </c>
      <c r="L97" s="527">
        <f t="shared" si="39"/>
        <v>9300.5720000000001</v>
      </c>
      <c r="M97" s="527">
        <f t="shared" si="39"/>
        <v>8909.394400000001</v>
      </c>
      <c r="N97" s="527">
        <f t="shared" si="39"/>
        <v>3997.9412000000002</v>
      </c>
      <c r="O97" s="527">
        <f t="shared" si="39"/>
        <v>103672.38919999999</v>
      </c>
      <c r="P97" s="479"/>
      <c r="Q97" s="467"/>
    </row>
    <row r="98" spans="1:17" s="146" customFormat="1" ht="15.75">
      <c r="A98" s="493"/>
      <c r="B98" s="493"/>
      <c r="C98" s="483"/>
      <c r="D98" s="483"/>
      <c r="E98" s="528" t="s">
        <v>13</v>
      </c>
      <c r="F98" s="483"/>
      <c r="G98" s="483"/>
      <c r="H98" s="483"/>
      <c r="I98" s="483"/>
      <c r="J98" s="483"/>
      <c r="K98" s="483"/>
      <c r="L98" s="483"/>
      <c r="M98" s="483"/>
      <c r="N98" s="483"/>
      <c r="O98" s="493"/>
      <c r="P98" s="147"/>
      <c r="Q98" s="480"/>
    </row>
    <row r="99" spans="1:17" s="146" customFormat="1" ht="15.75">
      <c r="A99" s="489" t="s">
        <v>25</v>
      </c>
      <c r="B99" s="489" t="s">
        <v>13</v>
      </c>
      <c r="C99" s="491">
        <v>0</v>
      </c>
      <c r="D99" s="491">
        <v>0</v>
      </c>
      <c r="E99" s="491">
        <v>0</v>
      </c>
      <c r="F99" s="491">
        <v>0</v>
      </c>
      <c r="G99" s="491">
        <v>0</v>
      </c>
      <c r="H99" s="491">
        <v>0</v>
      </c>
      <c r="I99" s="491">
        <v>10296000</v>
      </c>
      <c r="J99" s="491">
        <v>11218000</v>
      </c>
      <c r="K99" s="491">
        <v>9766000</v>
      </c>
      <c r="L99" s="491">
        <v>6132000</v>
      </c>
      <c r="M99" s="491">
        <v>4996000</v>
      </c>
      <c r="N99" s="491">
        <v>1328000</v>
      </c>
      <c r="O99" s="492">
        <f>SUM(C99:N99)</f>
        <v>43736000</v>
      </c>
      <c r="P99" s="475"/>
      <c r="Q99" s="475"/>
    </row>
    <row r="100" spans="1:17" s="146" customFormat="1" ht="15.75">
      <c r="A100" s="489" t="s">
        <v>26</v>
      </c>
      <c r="B100" s="529"/>
      <c r="C100" s="530">
        <v>0</v>
      </c>
      <c r="D100" s="530">
        <v>0</v>
      </c>
      <c r="E100" s="530">
        <v>0</v>
      </c>
      <c r="F100" s="530">
        <f t="shared" ref="F100:N100" si="40">(F99*884)/(F72*1000)</f>
        <v>0</v>
      </c>
      <c r="G100" s="530">
        <f t="shared" si="40"/>
        <v>0</v>
      </c>
      <c r="H100" s="530">
        <f t="shared" si="40"/>
        <v>0</v>
      </c>
      <c r="I100" s="530">
        <f t="shared" si="40"/>
        <v>0.71452849740932645</v>
      </c>
      <c r="J100" s="530">
        <f t="shared" si="40"/>
        <v>0.80682710926694334</v>
      </c>
      <c r="K100" s="530">
        <f t="shared" si="40"/>
        <v>0.72340740740740739</v>
      </c>
      <c r="L100" s="530">
        <f t="shared" si="40"/>
        <v>0.88515480078380149</v>
      </c>
      <c r="M100" s="530">
        <f t="shared" si="40"/>
        <v>0.81665384615384617</v>
      </c>
      <c r="N100" s="530">
        <f t="shared" si="40"/>
        <v>0.92582965299684539</v>
      </c>
      <c r="O100" s="531">
        <f>SUM(C100:N100)/8</f>
        <v>0.60905016425227132</v>
      </c>
      <c r="P100" s="480"/>
      <c r="Q100" s="475"/>
    </row>
    <row r="101" spans="1:17" s="146" customFormat="1" ht="15.75">
      <c r="A101" s="489" t="s">
        <v>27</v>
      </c>
      <c r="B101" s="493"/>
      <c r="C101" s="491">
        <v>72</v>
      </c>
      <c r="D101" s="491">
        <v>2</v>
      </c>
      <c r="E101" s="491">
        <v>21</v>
      </c>
      <c r="F101" s="491">
        <v>196</v>
      </c>
      <c r="G101" s="491">
        <v>392</v>
      </c>
      <c r="H101" s="491">
        <v>797</v>
      </c>
      <c r="I101" s="491">
        <v>1151</v>
      </c>
      <c r="J101" s="491">
        <v>1281</v>
      </c>
      <c r="K101" s="491">
        <v>1074</v>
      </c>
      <c r="L101" s="491">
        <v>530</v>
      </c>
      <c r="M101" s="491">
        <v>444</v>
      </c>
      <c r="N101" s="491">
        <v>142</v>
      </c>
      <c r="O101" s="492">
        <f>SUM(C101:N101)</f>
        <v>6102</v>
      </c>
      <c r="P101" s="475"/>
      <c r="Q101" s="475"/>
    </row>
    <row r="102" spans="1:17" s="146" customFormat="1" ht="15.75">
      <c r="A102" s="489" t="s">
        <v>28</v>
      </c>
      <c r="B102" s="493"/>
      <c r="C102" s="491">
        <v>178</v>
      </c>
      <c r="D102" s="491">
        <v>395</v>
      </c>
      <c r="E102" s="491">
        <v>266</v>
      </c>
      <c r="F102" s="491">
        <v>101</v>
      </c>
      <c r="G102" s="491">
        <v>69</v>
      </c>
      <c r="H102" s="491">
        <v>0</v>
      </c>
      <c r="I102" s="491">
        <v>0</v>
      </c>
      <c r="J102" s="491">
        <v>0</v>
      </c>
      <c r="K102" s="491">
        <v>0</v>
      </c>
      <c r="L102" s="491">
        <v>32</v>
      </c>
      <c r="M102" s="491">
        <v>15</v>
      </c>
      <c r="N102" s="491">
        <v>121</v>
      </c>
      <c r="O102" s="492">
        <f>SUM(C102:N102)</f>
        <v>1177</v>
      </c>
      <c r="P102" s="475"/>
      <c r="Q102" s="475"/>
    </row>
    <row r="103" spans="1:17" s="146" customFormat="1" ht="15.75">
      <c r="A103" s="489" t="s">
        <v>389</v>
      </c>
      <c r="B103" s="493"/>
      <c r="C103" s="491">
        <v>120</v>
      </c>
      <c r="D103" s="491">
        <v>237</v>
      </c>
      <c r="E103" s="491">
        <v>222</v>
      </c>
      <c r="F103" s="491">
        <v>0</v>
      </c>
      <c r="G103" s="491">
        <v>18</v>
      </c>
      <c r="H103" s="491">
        <v>0</v>
      </c>
      <c r="I103" s="491">
        <v>0</v>
      </c>
      <c r="J103" s="491">
        <v>0</v>
      </c>
      <c r="K103" s="491">
        <v>0</v>
      </c>
      <c r="L103" s="491">
        <v>0</v>
      </c>
      <c r="M103" s="491">
        <v>0</v>
      </c>
      <c r="N103" s="491">
        <v>104</v>
      </c>
      <c r="O103" s="492">
        <f>SUM(C103:N103)</f>
        <v>701</v>
      </c>
      <c r="P103" s="475"/>
      <c r="Q103" s="475"/>
    </row>
    <row r="104" spans="1:17" s="146" customFormat="1" ht="15.75">
      <c r="A104" s="489" t="s">
        <v>390</v>
      </c>
      <c r="B104" s="493"/>
      <c r="C104" s="491">
        <v>374</v>
      </c>
      <c r="D104" s="491">
        <v>287</v>
      </c>
      <c r="E104" s="491">
        <v>175</v>
      </c>
      <c r="F104" s="491">
        <v>147</v>
      </c>
      <c r="G104" s="491">
        <v>70</v>
      </c>
      <c r="H104" s="491">
        <v>0</v>
      </c>
      <c r="I104" s="491">
        <v>0</v>
      </c>
      <c r="J104" s="491">
        <v>0</v>
      </c>
      <c r="K104" s="491">
        <v>0</v>
      </c>
      <c r="L104" s="491">
        <v>0</v>
      </c>
      <c r="M104" s="491">
        <v>0</v>
      </c>
      <c r="N104" s="491">
        <v>155</v>
      </c>
      <c r="O104" s="492">
        <f>SUM(C104:N104)</f>
        <v>1208</v>
      </c>
      <c r="P104" s="475"/>
    </row>
    <row r="105" spans="1:17" s="146" customFormat="1" ht="15.75">
      <c r="A105" s="489" t="s">
        <v>391</v>
      </c>
      <c r="B105" s="493"/>
      <c r="C105" s="491">
        <v>51</v>
      </c>
      <c r="D105" s="491">
        <v>339</v>
      </c>
      <c r="E105" s="491">
        <v>322</v>
      </c>
      <c r="F105" s="491">
        <v>172</v>
      </c>
      <c r="G105" s="491">
        <v>100</v>
      </c>
      <c r="H105" s="491">
        <v>0</v>
      </c>
      <c r="I105" s="491">
        <v>0</v>
      </c>
      <c r="J105" s="491">
        <v>0</v>
      </c>
      <c r="K105" s="491">
        <v>0</v>
      </c>
      <c r="L105" s="491">
        <v>0</v>
      </c>
      <c r="M105" s="491">
        <v>0</v>
      </c>
      <c r="N105" s="491">
        <v>69</v>
      </c>
      <c r="O105" s="492">
        <f>SUM(C105:N105)</f>
        <v>1053</v>
      </c>
      <c r="P105" s="475"/>
    </row>
    <row r="106" spans="1:17" s="146" customFormat="1" ht="15.75">
      <c r="A106" s="483"/>
      <c r="B106" s="483"/>
      <c r="C106" s="483"/>
      <c r="D106" s="483"/>
      <c r="E106" s="483"/>
      <c r="F106" s="483"/>
      <c r="G106" s="483"/>
      <c r="H106" s="483"/>
      <c r="I106" s="483"/>
      <c r="J106" s="483"/>
      <c r="K106" s="483"/>
      <c r="L106" s="483"/>
      <c r="M106" s="483"/>
      <c r="N106" s="483"/>
      <c r="O106" s="483"/>
    </row>
    <row r="107" spans="1:17" s="146" customFormat="1" ht="15.75">
      <c r="A107" s="483"/>
      <c r="B107" s="483"/>
      <c r="C107" s="483"/>
      <c r="D107" s="483"/>
      <c r="E107" s="483"/>
      <c r="F107" s="483"/>
      <c r="G107" s="483"/>
      <c r="H107" s="483"/>
      <c r="I107" s="483"/>
      <c r="J107" s="483"/>
      <c r="K107" s="483"/>
      <c r="L107" s="483"/>
      <c r="M107" s="483"/>
      <c r="N107" s="483"/>
      <c r="O107" s="483"/>
    </row>
  </sheetData>
  <phoneticPr fontId="0" type="noConversion"/>
  <printOptions horizontalCentered="1" verticalCentered="1" gridLinesSet="0"/>
  <pageMargins left="0.25" right="0.25" top="0.5" bottom="0.5" header="0" footer="0"/>
  <pageSetup scale="41" orientation="portrait" verticalDpi="300" r:id="rId1"/>
  <headerFooter alignWithMargins="0"/>
  <colBreaks count="1" manualBreakCount="1">
    <brk id="8" max="78" man="1"/>
  </col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>
    <pageSetUpPr fitToPage="1"/>
  </sheetPr>
  <dimension ref="A1:Q107"/>
  <sheetViews>
    <sheetView view="pageBreakPreview" zoomScale="90" zoomScaleNormal="100" zoomScaleSheetLayoutView="90" workbookViewId="0">
      <selection activeCell="H9" sqref="H9"/>
    </sheetView>
  </sheetViews>
  <sheetFormatPr defaultColWidth="20.28515625" defaultRowHeight="11.25"/>
  <cols>
    <col min="1" max="1" width="27.5703125" style="200" customWidth="1"/>
    <col min="2" max="2" width="18.85546875" style="200" bestFit="1" customWidth="1"/>
    <col min="3" max="3" width="10.5703125" style="200" bestFit="1" customWidth="1"/>
    <col min="4" max="4" width="11.28515625" style="200" bestFit="1" customWidth="1"/>
    <col min="5" max="5" width="10.28515625" style="200" bestFit="1" customWidth="1"/>
    <col min="6" max="9" width="10.5703125" style="200" bestFit="1" customWidth="1"/>
    <col min="10" max="10" width="10.7109375" style="200" bestFit="1" customWidth="1"/>
    <col min="11" max="11" width="10.5703125" style="200" bestFit="1" customWidth="1"/>
    <col min="12" max="12" width="10.28515625" style="200" bestFit="1" customWidth="1"/>
    <col min="13" max="13" width="10" style="200" customWidth="1"/>
    <col min="14" max="14" width="10.28515625" style="200" bestFit="1" customWidth="1"/>
    <col min="15" max="15" width="11.28515625" style="200" bestFit="1" customWidth="1"/>
    <col min="16" max="20" width="20.28515625" style="200" customWidth="1"/>
    <col min="21" max="21" width="20.28515625" style="200"/>
    <col min="22" max="22" width="42.140625" style="200" customWidth="1"/>
    <col min="23" max="28" width="20.28515625" style="200"/>
    <col min="29" max="29" width="42.140625" style="200" customWidth="1"/>
    <col min="30" max="35" width="20.28515625" style="200"/>
    <col min="36" max="36" width="42.140625" style="200" customWidth="1"/>
    <col min="37" max="42" width="20.28515625" style="200"/>
    <col min="43" max="43" width="42.140625" style="200" customWidth="1"/>
    <col min="44" max="49" width="20.28515625" style="200"/>
    <col min="50" max="50" width="42.140625" style="200" customWidth="1"/>
    <col min="51" max="56" width="20.28515625" style="200"/>
    <col min="57" max="57" width="42.140625" style="200" customWidth="1"/>
    <col min="58" max="63" width="20.28515625" style="200"/>
    <col min="64" max="64" width="42.140625" style="200" customWidth="1"/>
    <col min="65" max="16384" width="20.28515625" style="200"/>
  </cols>
  <sheetData>
    <row r="1" spans="1:17">
      <c r="A1" s="199" t="s">
        <v>504</v>
      </c>
      <c r="B1" s="225"/>
      <c r="C1" s="317"/>
      <c r="D1" s="317"/>
    </row>
    <row r="2" spans="1:17" s="227" customFormat="1" ht="12" customHeight="1">
      <c r="A2" s="318" t="s">
        <v>314</v>
      </c>
      <c r="B2" s="234"/>
    </row>
    <row r="3" spans="1:17" s="205" customFormat="1">
      <c r="A3" s="201"/>
      <c r="B3" s="201"/>
      <c r="C3" s="202" t="s">
        <v>53</v>
      </c>
      <c r="D3" s="203" t="s">
        <v>54</v>
      </c>
      <c r="E3" s="203" t="s">
        <v>55</v>
      </c>
      <c r="F3" s="203" t="s">
        <v>3</v>
      </c>
      <c r="G3" s="203" t="s">
        <v>4</v>
      </c>
      <c r="H3" s="203" t="s">
        <v>5</v>
      </c>
      <c r="I3" s="203" t="s">
        <v>6</v>
      </c>
      <c r="J3" s="203" t="s">
        <v>7</v>
      </c>
      <c r="K3" s="203" t="s">
        <v>8</v>
      </c>
      <c r="L3" s="203" t="s">
        <v>62</v>
      </c>
      <c r="M3" s="203" t="s">
        <v>63</v>
      </c>
      <c r="N3" s="203" t="s">
        <v>11</v>
      </c>
      <c r="O3" s="204" t="s">
        <v>12</v>
      </c>
      <c r="Q3" s="203"/>
    </row>
    <row r="4" spans="1:17" s="210" customFormat="1" ht="12">
      <c r="A4" s="206" t="s">
        <v>14</v>
      </c>
      <c r="B4" s="207" t="s">
        <v>290</v>
      </c>
      <c r="C4" s="274">
        <v>0</v>
      </c>
      <c r="D4" s="274">
        <v>0</v>
      </c>
      <c r="E4" s="274">
        <v>0</v>
      </c>
      <c r="F4" s="274">
        <v>622</v>
      </c>
      <c r="G4" s="274">
        <v>6898</v>
      </c>
      <c r="H4" s="274">
        <v>9891</v>
      </c>
      <c r="I4" s="274">
        <v>13579</v>
      </c>
      <c r="J4" s="274">
        <v>14777</v>
      </c>
      <c r="K4" s="274">
        <v>10241</v>
      </c>
      <c r="L4" s="274">
        <v>10533</v>
      </c>
      <c r="M4" s="274">
        <v>8624</v>
      </c>
      <c r="N4" s="274">
        <v>2745</v>
      </c>
      <c r="O4" s="277">
        <f>SUM(C4:N4)</f>
        <v>77910</v>
      </c>
      <c r="P4" s="209"/>
      <c r="Q4" s="209"/>
    </row>
    <row r="5" spans="1:17" s="214" customFormat="1" ht="12">
      <c r="A5" s="211"/>
      <c r="B5" s="212" t="s">
        <v>15</v>
      </c>
      <c r="C5" s="275">
        <v>311.17</v>
      </c>
      <c r="D5" s="275">
        <v>311.17</v>
      </c>
      <c r="E5" s="275">
        <v>311.17</v>
      </c>
      <c r="F5" s="275">
        <v>2573</v>
      </c>
      <c r="G5" s="275">
        <v>28322</v>
      </c>
      <c r="H5" s="275">
        <v>46004.53</v>
      </c>
      <c r="I5" s="275">
        <v>63048</v>
      </c>
      <c r="J5" s="275">
        <v>63343</v>
      </c>
      <c r="K5" s="275">
        <v>43982</v>
      </c>
      <c r="L5" s="275">
        <v>45910</v>
      </c>
      <c r="M5" s="275">
        <v>43192</v>
      </c>
      <c r="N5" s="275">
        <v>14660</v>
      </c>
      <c r="O5" s="278">
        <f>SUM(C5:N5)</f>
        <v>351968.04000000004</v>
      </c>
      <c r="P5" s="213"/>
      <c r="Q5" s="213"/>
    </row>
    <row r="6" spans="1:17" s="218" customFormat="1" ht="12">
      <c r="A6" s="215"/>
      <c r="B6" s="216" t="s">
        <v>16</v>
      </c>
      <c r="C6" s="276">
        <v>0</v>
      </c>
      <c r="D6" s="276">
        <v>0</v>
      </c>
      <c r="E6" s="276">
        <v>0</v>
      </c>
      <c r="F6" s="276">
        <v>0</v>
      </c>
      <c r="G6" s="276">
        <f t="shared" ref="G6:O6" si="0">(G5/G4)</f>
        <v>4.105827776167005</v>
      </c>
      <c r="H6" s="276">
        <f t="shared" si="0"/>
        <v>4.6511505408957641</v>
      </c>
      <c r="I6" s="276">
        <f t="shared" si="0"/>
        <v>4.6430517711171664</v>
      </c>
      <c r="J6" s="276">
        <f t="shared" si="0"/>
        <v>4.2865940312648032</v>
      </c>
      <c r="K6" s="276">
        <f t="shared" si="0"/>
        <v>4.2946977834195881</v>
      </c>
      <c r="L6" s="276">
        <f t="shared" si="0"/>
        <v>4.3586822367796447</v>
      </c>
      <c r="M6" s="276">
        <f t="shared" si="0"/>
        <v>5.00834879406308</v>
      </c>
      <c r="N6" s="276">
        <f t="shared" si="0"/>
        <v>5.3406193078324229</v>
      </c>
      <c r="O6" s="283">
        <f t="shared" si="0"/>
        <v>4.5176234116288025</v>
      </c>
      <c r="P6" s="217"/>
      <c r="Q6" s="217"/>
    </row>
    <row r="7" spans="1:17" s="210" customFormat="1" ht="12">
      <c r="A7" s="211"/>
      <c r="B7" s="207" t="s">
        <v>291</v>
      </c>
      <c r="C7" s="274">
        <f>(C4*100000)/1000</f>
        <v>0</v>
      </c>
      <c r="D7" s="274">
        <f>(D4*100000)/1000</f>
        <v>0</v>
      </c>
      <c r="E7" s="274">
        <f>(E4*100000)/1000</f>
        <v>0</v>
      </c>
      <c r="F7" s="274">
        <f>(F4*1000)</f>
        <v>622000</v>
      </c>
      <c r="G7" s="274">
        <f>(G4*1000)</f>
        <v>6898000</v>
      </c>
      <c r="H7" s="274">
        <f>(H4*1000)</f>
        <v>9891000</v>
      </c>
      <c r="I7" s="274">
        <f>I4*1000</f>
        <v>13579000</v>
      </c>
      <c r="J7" s="274">
        <f>(J4*1000000)/1000</f>
        <v>14777000</v>
      </c>
      <c r="K7" s="274">
        <f>(K4*1000000)/1000</f>
        <v>10241000</v>
      </c>
      <c r="L7" s="274">
        <f>(L4*1000000)/1000</f>
        <v>10533000</v>
      </c>
      <c r="M7" s="274">
        <f>(M4*1000000)/1000</f>
        <v>8624000</v>
      </c>
      <c r="N7" s="274">
        <f>(N4*1000000)/1000</f>
        <v>2745000</v>
      </c>
      <c r="O7" s="277">
        <f>(O4*1000)</f>
        <v>77910000</v>
      </c>
      <c r="P7" s="209"/>
      <c r="Q7" s="209"/>
    </row>
    <row r="8" spans="1:17" s="227" customFormat="1" ht="6" customHeight="1">
      <c r="A8" s="226"/>
      <c r="B8" s="230"/>
      <c r="C8" s="109"/>
      <c r="D8" s="109"/>
      <c r="E8" s="109"/>
      <c r="F8" s="109"/>
      <c r="G8" s="109"/>
      <c r="H8" s="109"/>
      <c r="I8" s="109"/>
      <c r="J8" s="109"/>
      <c r="K8" s="109"/>
      <c r="L8" s="109"/>
      <c r="M8" s="109"/>
      <c r="N8" s="109"/>
      <c r="O8" s="110"/>
      <c r="P8" s="233"/>
      <c r="Q8" s="233"/>
    </row>
    <row r="9" spans="1:17" s="210" customFormat="1" ht="12">
      <c r="A9" s="211" t="s">
        <v>17</v>
      </c>
      <c r="B9" s="207" t="s">
        <v>18</v>
      </c>
      <c r="C9" s="274">
        <v>0</v>
      </c>
      <c r="D9" s="274">
        <v>0</v>
      </c>
      <c r="E9" s="274">
        <v>0</v>
      </c>
      <c r="F9" s="274">
        <v>0</v>
      </c>
      <c r="G9" s="274">
        <v>0</v>
      </c>
      <c r="H9" s="274">
        <v>0</v>
      </c>
      <c r="I9" s="274">
        <v>0</v>
      </c>
      <c r="J9" s="274">
        <v>0</v>
      </c>
      <c r="K9" s="274">
        <v>0</v>
      </c>
      <c r="L9" s="274">
        <v>0</v>
      </c>
      <c r="M9" s="274">
        <v>0</v>
      </c>
      <c r="N9" s="274">
        <v>0</v>
      </c>
      <c r="O9" s="277">
        <f>SUM(C9:N9)</f>
        <v>0</v>
      </c>
      <c r="P9" s="209"/>
      <c r="Q9" s="209"/>
    </row>
    <row r="10" spans="1:17" s="214" customFormat="1" ht="12">
      <c r="A10" s="211"/>
      <c r="B10" s="212" t="s">
        <v>15</v>
      </c>
      <c r="C10" s="275">
        <v>0</v>
      </c>
      <c r="D10" s="275">
        <v>0</v>
      </c>
      <c r="E10" s="275">
        <v>0</v>
      </c>
      <c r="F10" s="275">
        <v>0</v>
      </c>
      <c r="G10" s="275">
        <v>0</v>
      </c>
      <c r="H10" s="275">
        <v>0</v>
      </c>
      <c r="I10" s="275">
        <v>0</v>
      </c>
      <c r="J10" s="275">
        <v>0</v>
      </c>
      <c r="K10" s="275">
        <f>K9*K11</f>
        <v>0</v>
      </c>
      <c r="L10" s="275">
        <f>L9*L11</f>
        <v>0</v>
      </c>
      <c r="M10" s="275">
        <f>M9*M11</f>
        <v>0</v>
      </c>
      <c r="N10" s="275">
        <f>N9*N11</f>
        <v>0</v>
      </c>
      <c r="O10" s="278">
        <f>SUM(C10:N10)</f>
        <v>0</v>
      </c>
      <c r="P10" s="213"/>
      <c r="Q10" s="213"/>
    </row>
    <row r="11" spans="1:17" s="218" customFormat="1" ht="12">
      <c r="A11" s="211"/>
      <c r="B11" s="216" t="s">
        <v>16</v>
      </c>
      <c r="C11" s="279">
        <v>0</v>
      </c>
      <c r="D11" s="279">
        <v>0</v>
      </c>
      <c r="E11" s="279">
        <v>0</v>
      </c>
      <c r="F11" s="279">
        <v>0</v>
      </c>
      <c r="G11" s="279">
        <v>0</v>
      </c>
      <c r="H11" s="279">
        <v>0</v>
      </c>
      <c r="I11" s="279">
        <v>0</v>
      </c>
      <c r="J11" s="279">
        <v>0</v>
      </c>
      <c r="K11" s="279">
        <v>0</v>
      </c>
      <c r="L11" s="279">
        <v>0</v>
      </c>
      <c r="M11" s="279">
        <v>0</v>
      </c>
      <c r="N11" s="279">
        <v>0</v>
      </c>
      <c r="O11" s="280">
        <v>0</v>
      </c>
      <c r="P11" s="217"/>
      <c r="Q11" s="217"/>
    </row>
    <row r="12" spans="1:17" s="210" customFormat="1" ht="12">
      <c r="A12" s="211"/>
      <c r="B12" s="207" t="s">
        <v>174</v>
      </c>
      <c r="C12" s="281">
        <f t="shared" ref="C12:L12" si="1">(C9*138000)/1000</f>
        <v>0</v>
      </c>
      <c r="D12" s="281">
        <f t="shared" si="1"/>
        <v>0</v>
      </c>
      <c r="E12" s="281">
        <f t="shared" si="1"/>
        <v>0</v>
      </c>
      <c r="F12" s="281">
        <f t="shared" si="1"/>
        <v>0</v>
      </c>
      <c r="G12" s="281">
        <f t="shared" si="1"/>
        <v>0</v>
      </c>
      <c r="H12" s="281">
        <f t="shared" si="1"/>
        <v>0</v>
      </c>
      <c r="I12" s="281">
        <f t="shared" si="1"/>
        <v>0</v>
      </c>
      <c r="J12" s="281">
        <f>(J9*138000)/1000</f>
        <v>0</v>
      </c>
      <c r="K12" s="281">
        <f t="shared" si="1"/>
        <v>0</v>
      </c>
      <c r="L12" s="281">
        <f t="shared" si="1"/>
        <v>0</v>
      </c>
      <c r="M12" s="281">
        <f>(M9*138000)/1000</f>
        <v>0</v>
      </c>
      <c r="N12" s="281">
        <f>(N9*138000)/1000</f>
        <v>0</v>
      </c>
      <c r="O12" s="282">
        <f>SUM(C12:N12)</f>
        <v>0</v>
      </c>
      <c r="P12" s="209"/>
      <c r="Q12" s="209"/>
    </row>
    <row r="13" spans="1:17" s="227" customFormat="1" ht="6" customHeight="1">
      <c r="A13" s="226"/>
      <c r="B13" s="230"/>
      <c r="C13" s="112"/>
      <c r="D13" s="112"/>
      <c r="E13" s="112"/>
      <c r="F13" s="112"/>
      <c r="G13" s="112"/>
      <c r="H13" s="112"/>
      <c r="I13" s="112"/>
      <c r="J13" s="112"/>
      <c r="K13" s="112"/>
      <c r="L13" s="112"/>
      <c r="M13" s="112"/>
      <c r="N13" s="112"/>
      <c r="O13" s="111"/>
      <c r="P13" s="232"/>
      <c r="Q13" s="233"/>
    </row>
    <row r="14" spans="1:17" s="210" customFormat="1" ht="12">
      <c r="A14" s="206" t="s">
        <v>19</v>
      </c>
      <c r="B14" s="207" t="s">
        <v>18</v>
      </c>
      <c r="C14" s="274">
        <v>0</v>
      </c>
      <c r="D14" s="274">
        <v>0</v>
      </c>
      <c r="E14" s="274">
        <v>0</v>
      </c>
      <c r="F14" s="274">
        <v>0</v>
      </c>
      <c r="G14" s="274">
        <v>0</v>
      </c>
      <c r="H14" s="274">
        <v>0</v>
      </c>
      <c r="I14" s="274">
        <v>0</v>
      </c>
      <c r="J14" s="274">
        <v>0</v>
      </c>
      <c r="K14" s="274">
        <v>11098</v>
      </c>
      <c r="L14" s="274">
        <v>18234</v>
      </c>
      <c r="M14" s="274">
        <v>0</v>
      </c>
      <c r="N14" s="274">
        <v>0</v>
      </c>
      <c r="O14" s="277">
        <f>SUM(C14:N14)</f>
        <v>29332</v>
      </c>
      <c r="P14" s="209"/>
      <c r="Q14" s="209"/>
    </row>
    <row r="15" spans="1:17" s="214" customFormat="1" ht="12">
      <c r="A15" s="211"/>
      <c r="B15" s="212" t="s">
        <v>15</v>
      </c>
      <c r="C15" s="275">
        <v>0</v>
      </c>
      <c r="D15" s="275">
        <v>0</v>
      </c>
      <c r="E15" s="275">
        <v>0</v>
      </c>
      <c r="F15" s="275">
        <v>0</v>
      </c>
      <c r="G15" s="275">
        <v>0</v>
      </c>
      <c r="H15" s="275">
        <f t="shared" ref="H15:N15" si="2">H14*H16</f>
        <v>0</v>
      </c>
      <c r="I15" s="275">
        <v>0</v>
      </c>
      <c r="J15" s="275">
        <f t="shared" si="2"/>
        <v>0</v>
      </c>
      <c r="K15" s="275">
        <v>16314</v>
      </c>
      <c r="L15" s="275">
        <v>25527</v>
      </c>
      <c r="M15" s="275">
        <f t="shared" si="2"/>
        <v>0</v>
      </c>
      <c r="N15" s="275">
        <f t="shared" si="2"/>
        <v>0</v>
      </c>
      <c r="O15" s="278">
        <f>SUM(C15:N15)</f>
        <v>41841</v>
      </c>
      <c r="P15" s="213"/>
      <c r="Q15" s="213"/>
    </row>
    <row r="16" spans="1:17" s="218" customFormat="1" ht="12">
      <c r="A16" s="211"/>
      <c r="B16" s="216" t="s">
        <v>16</v>
      </c>
      <c r="C16" s="284">
        <v>0</v>
      </c>
      <c r="D16" s="284">
        <v>0</v>
      </c>
      <c r="E16" s="284">
        <v>0</v>
      </c>
      <c r="F16" s="284">
        <v>0</v>
      </c>
      <c r="G16" s="284">
        <v>0</v>
      </c>
      <c r="H16" s="284">
        <v>0</v>
      </c>
      <c r="I16" s="284">
        <v>0</v>
      </c>
      <c r="J16" s="284">
        <v>0</v>
      </c>
      <c r="K16" s="284">
        <v>1.47</v>
      </c>
      <c r="L16" s="284">
        <v>1.4</v>
      </c>
      <c r="M16" s="284">
        <v>0</v>
      </c>
      <c r="N16" s="284">
        <v>0</v>
      </c>
      <c r="O16" s="285">
        <v>0</v>
      </c>
      <c r="P16" s="217"/>
      <c r="Q16" s="217"/>
    </row>
    <row r="17" spans="1:17" s="210" customFormat="1" ht="12">
      <c r="A17" s="211"/>
      <c r="B17" s="207" t="s">
        <v>174</v>
      </c>
      <c r="C17" s="274">
        <f>(C14*150000)/1000</f>
        <v>0</v>
      </c>
      <c r="D17" s="274">
        <f t="shared" ref="D17:N17" si="3">(D14*150000)/1000</f>
        <v>0</v>
      </c>
      <c r="E17" s="274">
        <f t="shared" si="3"/>
        <v>0</v>
      </c>
      <c r="F17" s="274">
        <f t="shared" si="3"/>
        <v>0</v>
      </c>
      <c r="G17" s="274">
        <f t="shared" si="3"/>
        <v>0</v>
      </c>
      <c r="H17" s="274">
        <f t="shared" si="3"/>
        <v>0</v>
      </c>
      <c r="I17" s="274">
        <f t="shared" si="3"/>
        <v>0</v>
      </c>
      <c r="J17" s="274">
        <f t="shared" si="3"/>
        <v>0</v>
      </c>
      <c r="K17" s="274">
        <f t="shared" si="3"/>
        <v>1664700</v>
      </c>
      <c r="L17" s="274">
        <f t="shared" si="3"/>
        <v>2735100</v>
      </c>
      <c r="M17" s="274">
        <f t="shared" si="3"/>
        <v>0</v>
      </c>
      <c r="N17" s="274">
        <f t="shared" si="3"/>
        <v>0</v>
      </c>
      <c r="O17" s="277">
        <f>SUM(C17:N17)</f>
        <v>4399800</v>
      </c>
      <c r="P17" s="209"/>
      <c r="Q17" s="209"/>
    </row>
    <row r="18" spans="1:17" s="227" customFormat="1" ht="6" customHeight="1">
      <c r="A18" s="226"/>
      <c r="B18" s="230"/>
      <c r="C18" s="108"/>
      <c r="D18" s="108"/>
      <c r="E18" s="108"/>
      <c r="F18" s="108"/>
      <c r="G18" s="108"/>
      <c r="H18" s="108"/>
      <c r="I18" s="108"/>
      <c r="J18" s="108"/>
      <c r="K18" s="108"/>
      <c r="L18" s="108"/>
      <c r="M18" s="108"/>
      <c r="N18" s="108"/>
      <c r="O18" s="106"/>
      <c r="P18" s="231"/>
      <c r="Q18" s="226"/>
    </row>
    <row r="19" spans="1:17" s="210" customFormat="1" ht="12">
      <c r="A19" s="206" t="s">
        <v>138</v>
      </c>
      <c r="B19" s="207" t="s">
        <v>292</v>
      </c>
      <c r="C19" s="274">
        <f t="shared" ref="C19:I19" si="4">SUM(C7+C12+C17)</f>
        <v>0</v>
      </c>
      <c r="D19" s="274">
        <f t="shared" si="4"/>
        <v>0</v>
      </c>
      <c r="E19" s="274">
        <f t="shared" si="4"/>
        <v>0</v>
      </c>
      <c r="F19" s="274">
        <f t="shared" si="4"/>
        <v>622000</v>
      </c>
      <c r="G19" s="274">
        <f t="shared" si="4"/>
        <v>6898000</v>
      </c>
      <c r="H19" s="274">
        <f t="shared" si="4"/>
        <v>9891000</v>
      </c>
      <c r="I19" s="274">
        <f t="shared" si="4"/>
        <v>13579000</v>
      </c>
      <c r="J19" s="274">
        <f>SUM(J7+J12+J17)</f>
        <v>14777000</v>
      </c>
      <c r="K19" s="274">
        <f>SUM(K7+K12+K17)</f>
        <v>11905700</v>
      </c>
      <c r="L19" s="274">
        <f>SUM(L7+L12+L17)</f>
        <v>13268100</v>
      </c>
      <c r="M19" s="274">
        <f>SUM(M7+M12+M17)</f>
        <v>8624000</v>
      </c>
      <c r="N19" s="274">
        <f>SUM(N7+N12+N17)</f>
        <v>2745000</v>
      </c>
      <c r="O19" s="277">
        <f>SUM(C19:N19)</f>
        <v>82309800</v>
      </c>
      <c r="P19" s="209"/>
      <c r="Q19" s="209"/>
    </row>
    <row r="20" spans="1:17" s="214" customFormat="1" ht="12">
      <c r="A20" s="211" t="s">
        <v>137</v>
      </c>
      <c r="B20" s="219"/>
      <c r="C20" s="286">
        <f t="shared" ref="C20:N20" si="5">SUM(C5+C10+C15)</f>
        <v>311.17</v>
      </c>
      <c r="D20" s="286">
        <f t="shared" si="5"/>
        <v>311.17</v>
      </c>
      <c r="E20" s="286">
        <f t="shared" si="5"/>
        <v>311.17</v>
      </c>
      <c r="F20" s="286">
        <f t="shared" si="5"/>
        <v>2573</v>
      </c>
      <c r="G20" s="286">
        <f t="shared" si="5"/>
        <v>28322</v>
      </c>
      <c r="H20" s="286">
        <f t="shared" si="5"/>
        <v>46004.53</v>
      </c>
      <c r="I20" s="286">
        <f t="shared" si="5"/>
        <v>63048</v>
      </c>
      <c r="J20" s="286">
        <f t="shared" si="5"/>
        <v>63343</v>
      </c>
      <c r="K20" s="286">
        <f t="shared" si="5"/>
        <v>60296</v>
      </c>
      <c r="L20" s="286">
        <f t="shared" si="5"/>
        <v>71437</v>
      </c>
      <c r="M20" s="286">
        <f t="shared" si="5"/>
        <v>43192</v>
      </c>
      <c r="N20" s="286">
        <f t="shared" si="5"/>
        <v>14660</v>
      </c>
      <c r="O20" s="283">
        <f>SUM(C20:N20)</f>
        <v>393809.04000000004</v>
      </c>
      <c r="P20" s="219"/>
      <c r="Q20" s="213"/>
    </row>
    <row r="21" spans="1:17" s="227" customFormat="1" ht="4.5" customHeight="1">
      <c r="A21" s="226"/>
      <c r="B21" s="226"/>
      <c r="C21" s="104"/>
      <c r="D21" s="104"/>
      <c r="E21" s="104"/>
      <c r="F21" s="104"/>
      <c r="G21" s="104"/>
      <c r="H21" s="104"/>
      <c r="I21" s="104"/>
      <c r="J21" s="104"/>
      <c r="K21" s="104"/>
      <c r="L21" s="104"/>
      <c r="M21" s="104"/>
      <c r="N21" s="104"/>
      <c r="O21" s="105"/>
      <c r="P21" s="226"/>
      <c r="Q21" s="231"/>
    </row>
    <row r="22" spans="1:17" s="210" customFormat="1" ht="12">
      <c r="A22" s="206" t="s">
        <v>20</v>
      </c>
      <c r="B22" s="207" t="s">
        <v>21</v>
      </c>
      <c r="C22" s="274">
        <v>739200</v>
      </c>
      <c r="D22" s="274">
        <v>850500</v>
      </c>
      <c r="E22" s="274">
        <v>688800</v>
      </c>
      <c r="F22" s="274">
        <v>907200</v>
      </c>
      <c r="G22" s="274">
        <v>915600</v>
      </c>
      <c r="H22" s="274">
        <v>1026900</v>
      </c>
      <c r="I22" s="274">
        <v>1047900</v>
      </c>
      <c r="J22" s="274">
        <v>945000</v>
      </c>
      <c r="K22" s="274">
        <v>1043700</v>
      </c>
      <c r="L22" s="274">
        <v>957600</v>
      </c>
      <c r="M22" s="274">
        <v>995400</v>
      </c>
      <c r="N22" s="274">
        <v>816900</v>
      </c>
      <c r="O22" s="277">
        <f>SUM(C22:N22)</f>
        <v>10934700</v>
      </c>
      <c r="P22" s="209"/>
      <c r="Q22" s="209"/>
    </row>
    <row r="23" spans="1:17" s="210" customFormat="1" ht="12">
      <c r="A23" s="200" t="s">
        <v>176</v>
      </c>
      <c r="B23" s="207" t="s">
        <v>22</v>
      </c>
      <c r="C23" s="274">
        <v>30</v>
      </c>
      <c r="D23" s="274">
        <v>32</v>
      </c>
      <c r="E23" s="274">
        <v>28</v>
      </c>
      <c r="F23" s="274">
        <v>31</v>
      </c>
      <c r="G23" s="274">
        <v>29</v>
      </c>
      <c r="H23" s="274">
        <v>33</v>
      </c>
      <c r="I23" s="274">
        <v>33</v>
      </c>
      <c r="J23" s="274">
        <v>30</v>
      </c>
      <c r="K23" s="274">
        <v>29</v>
      </c>
      <c r="L23" s="274">
        <v>29</v>
      </c>
      <c r="M23" s="274">
        <v>31</v>
      </c>
      <c r="N23" s="274">
        <v>31</v>
      </c>
      <c r="O23" s="277">
        <f>SUM(C23:N23)</f>
        <v>366</v>
      </c>
      <c r="P23" s="209"/>
      <c r="Q23" s="209"/>
    </row>
    <row r="24" spans="1:17" s="210" customFormat="1" ht="12">
      <c r="A24" s="211"/>
      <c r="B24" s="207" t="s">
        <v>23</v>
      </c>
      <c r="C24" s="274">
        <f t="shared" ref="C24:O24" si="6">(C22/C23)</f>
        <v>24640</v>
      </c>
      <c r="D24" s="274">
        <f t="shared" si="6"/>
        <v>26578.125</v>
      </c>
      <c r="E24" s="274">
        <f t="shared" si="6"/>
        <v>24600</v>
      </c>
      <c r="F24" s="274">
        <f t="shared" si="6"/>
        <v>29264.516129032258</v>
      </c>
      <c r="G24" s="274">
        <f t="shared" si="6"/>
        <v>31572.413793103449</v>
      </c>
      <c r="H24" s="274">
        <f t="shared" si="6"/>
        <v>31118.18181818182</v>
      </c>
      <c r="I24" s="274">
        <f t="shared" si="6"/>
        <v>31754.545454545456</v>
      </c>
      <c r="J24" s="274">
        <f t="shared" si="6"/>
        <v>31500</v>
      </c>
      <c r="K24" s="274">
        <f>(K22/K23)</f>
        <v>35989.65517241379</v>
      </c>
      <c r="L24" s="274">
        <f t="shared" si="6"/>
        <v>33020.689655172413</v>
      </c>
      <c r="M24" s="274">
        <f t="shared" si="6"/>
        <v>32109.677419354837</v>
      </c>
      <c r="N24" s="274">
        <f t="shared" si="6"/>
        <v>26351.612903225807</v>
      </c>
      <c r="O24" s="277">
        <f t="shared" si="6"/>
        <v>29876.22950819672</v>
      </c>
      <c r="P24" s="209"/>
      <c r="Q24" s="209"/>
    </row>
    <row r="25" spans="1:17" s="214" customFormat="1" ht="12">
      <c r="A25" s="206" t="s">
        <v>13</v>
      </c>
      <c r="B25" s="212" t="s">
        <v>15</v>
      </c>
      <c r="C25" s="276">
        <v>58865</v>
      </c>
      <c r="D25" s="276">
        <v>68584</v>
      </c>
      <c r="E25" s="276">
        <v>56706</v>
      </c>
      <c r="F25" s="276">
        <v>74701</v>
      </c>
      <c r="G25" s="276">
        <v>71060</v>
      </c>
      <c r="H25" s="276">
        <v>74353.36</v>
      </c>
      <c r="I25" s="276">
        <v>76113</v>
      </c>
      <c r="J25" s="276">
        <v>71828</v>
      </c>
      <c r="K25" s="276">
        <v>81620</v>
      </c>
      <c r="L25" s="276">
        <v>74036</v>
      </c>
      <c r="M25" s="276">
        <v>78727</v>
      </c>
      <c r="N25" s="276">
        <v>73072</v>
      </c>
      <c r="O25" s="278">
        <f>SUM(C25:N25)</f>
        <v>859665.36</v>
      </c>
      <c r="P25" s="213"/>
      <c r="Q25" s="213"/>
    </row>
    <row r="26" spans="1:17" s="218" customFormat="1" ht="12">
      <c r="A26" s="215"/>
      <c r="B26" s="216" t="s">
        <v>16</v>
      </c>
      <c r="C26" s="287">
        <f t="shared" ref="C26:O26" si="7">(C25/C22)</f>
        <v>7.9633387445887452E-2</v>
      </c>
      <c r="D26" s="287">
        <f t="shared" si="7"/>
        <v>8.0639623750734857E-2</v>
      </c>
      <c r="E26" s="287">
        <f t="shared" si="7"/>
        <v>8.2325783972125435E-2</v>
      </c>
      <c r="F26" s="287">
        <f t="shared" si="7"/>
        <v>8.2342372134038805E-2</v>
      </c>
      <c r="G26" s="287">
        <f t="shared" si="7"/>
        <v>7.7610310179117514E-2</v>
      </c>
      <c r="H26" s="287">
        <f t="shared" si="7"/>
        <v>7.2405648066997758E-2</v>
      </c>
      <c r="I26" s="287">
        <f t="shared" si="7"/>
        <v>7.2633839106785003E-2</v>
      </c>
      <c r="J26" s="287">
        <f t="shared" si="7"/>
        <v>7.6008465608465609E-2</v>
      </c>
      <c r="K26" s="287">
        <f>(K25/K22)</f>
        <v>7.8202548625083843E-2</v>
      </c>
      <c r="L26" s="287">
        <f t="shared" si="7"/>
        <v>7.7314118629908099E-2</v>
      </c>
      <c r="M26" s="287">
        <f t="shared" si="7"/>
        <v>7.9090817761703833E-2</v>
      </c>
      <c r="N26" s="287">
        <f t="shared" si="7"/>
        <v>8.9450361121312272E-2</v>
      </c>
      <c r="O26" s="289">
        <f t="shared" si="7"/>
        <v>7.8618102005541993E-2</v>
      </c>
      <c r="P26" s="217"/>
      <c r="Q26" s="217"/>
    </row>
    <row r="27" spans="1:17" s="210" customFormat="1" ht="12">
      <c r="A27" s="200" t="s">
        <v>175</v>
      </c>
      <c r="B27" s="207" t="s">
        <v>24</v>
      </c>
      <c r="C27" s="288">
        <v>1578</v>
      </c>
      <c r="D27" s="288">
        <v>1722</v>
      </c>
      <c r="E27" s="288">
        <v>1497</v>
      </c>
      <c r="F27" s="288">
        <v>1743</v>
      </c>
      <c r="G27" s="288">
        <v>1911</v>
      </c>
      <c r="H27" s="288">
        <v>1890</v>
      </c>
      <c r="I27" s="288">
        <v>1848</v>
      </c>
      <c r="J27" s="288">
        <v>1764</v>
      </c>
      <c r="K27" s="288">
        <v>1932</v>
      </c>
      <c r="L27" s="288">
        <v>1827</v>
      </c>
      <c r="M27" s="288">
        <v>1911</v>
      </c>
      <c r="N27" s="288">
        <v>1890</v>
      </c>
      <c r="O27" s="354">
        <f>SUM(C27:N27)/12</f>
        <v>1792.75</v>
      </c>
      <c r="P27" s="209"/>
      <c r="Q27" s="209"/>
    </row>
    <row r="28" spans="1:17" s="214" customFormat="1" ht="12">
      <c r="A28" s="214" t="s">
        <v>175</v>
      </c>
      <c r="B28" s="212" t="s">
        <v>173</v>
      </c>
      <c r="C28" s="276">
        <v>14402</v>
      </c>
      <c r="D28" s="276">
        <v>16497</v>
      </c>
      <c r="E28" s="276">
        <v>14341</v>
      </c>
      <c r="F28" s="276">
        <v>19102</v>
      </c>
      <c r="G28" s="276">
        <v>15566</v>
      </c>
      <c r="H28" s="276">
        <v>14156.1</v>
      </c>
      <c r="I28" s="276">
        <v>13842</v>
      </c>
      <c r="J28" s="276">
        <v>13212</v>
      </c>
      <c r="K28" s="276">
        <v>14471</v>
      </c>
      <c r="L28" s="276">
        <v>13684</v>
      </c>
      <c r="M28" s="276">
        <v>14313</v>
      </c>
      <c r="N28" s="276">
        <v>14156</v>
      </c>
      <c r="O28" s="283">
        <f>SUM(C28:N28)</f>
        <v>177742.1</v>
      </c>
      <c r="P28" s="213"/>
      <c r="Q28" s="213"/>
    </row>
    <row r="29" spans="1:17" s="210" customFormat="1" ht="12">
      <c r="A29" s="220"/>
      <c r="B29" s="207" t="s">
        <v>174</v>
      </c>
      <c r="C29" s="281">
        <f t="shared" ref="C29:O29" si="8">SUM(3412*C22)/1000</f>
        <v>2522150.4</v>
      </c>
      <c r="D29" s="281">
        <f t="shared" si="8"/>
        <v>2901906</v>
      </c>
      <c r="E29" s="281">
        <f t="shared" si="8"/>
        <v>2350185.6</v>
      </c>
      <c r="F29" s="281">
        <f t="shared" si="8"/>
        <v>3095366.4</v>
      </c>
      <c r="G29" s="281">
        <f t="shared" si="8"/>
        <v>3124027.2</v>
      </c>
      <c r="H29" s="281">
        <f t="shared" si="8"/>
        <v>3503782.8</v>
      </c>
      <c r="I29" s="281">
        <f t="shared" si="8"/>
        <v>3575434.8</v>
      </c>
      <c r="J29" s="281">
        <f t="shared" si="8"/>
        <v>3224340</v>
      </c>
      <c r="K29" s="281">
        <f>SUM(3412*K22)/1000</f>
        <v>3561104.4</v>
      </c>
      <c r="L29" s="281">
        <f t="shared" si="8"/>
        <v>3267331.2</v>
      </c>
      <c r="M29" s="281">
        <f t="shared" si="8"/>
        <v>3396304.8</v>
      </c>
      <c r="N29" s="281">
        <f t="shared" si="8"/>
        <v>2787262.8</v>
      </c>
      <c r="O29" s="282">
        <f t="shared" si="8"/>
        <v>37309196.399999999</v>
      </c>
      <c r="P29" s="209"/>
      <c r="Q29" s="221"/>
    </row>
    <row r="30" spans="1:17" s="210" customFormat="1" ht="12">
      <c r="A30" s="220"/>
      <c r="B30" s="207"/>
      <c r="C30" s="281"/>
      <c r="D30" s="281"/>
      <c r="E30" s="281"/>
      <c r="F30" s="281"/>
      <c r="G30" s="281"/>
      <c r="H30" s="281"/>
      <c r="I30" s="281"/>
      <c r="J30" s="281"/>
      <c r="K30" s="281"/>
      <c r="L30" s="281"/>
      <c r="M30" s="281"/>
      <c r="N30" s="281"/>
      <c r="O30" s="282"/>
      <c r="P30" s="209"/>
      <c r="Q30" s="221"/>
    </row>
    <row r="31" spans="1:17" s="210" customFormat="1" ht="12">
      <c r="A31" s="206" t="s">
        <v>20</v>
      </c>
      <c r="B31" s="206" t="s">
        <v>21</v>
      </c>
      <c r="C31" s="281">
        <v>173600</v>
      </c>
      <c r="D31" s="281">
        <v>343000</v>
      </c>
      <c r="E31" s="281">
        <v>177800</v>
      </c>
      <c r="F31" s="281">
        <v>138600</v>
      </c>
      <c r="G31" s="281">
        <v>32200</v>
      </c>
      <c r="H31" s="281">
        <v>8400</v>
      </c>
      <c r="I31" s="281">
        <v>11200</v>
      </c>
      <c r="J31" s="281">
        <v>8400</v>
      </c>
      <c r="K31" s="281">
        <v>14000</v>
      </c>
      <c r="L31" s="281">
        <v>14000</v>
      </c>
      <c r="M31" s="281">
        <v>9800</v>
      </c>
      <c r="N31" s="281">
        <v>50400</v>
      </c>
      <c r="O31" s="282">
        <f>SUM(C31:N31)</f>
        <v>981400</v>
      </c>
      <c r="P31" s="209"/>
      <c r="Q31" s="221"/>
    </row>
    <row r="32" spans="1:17" s="210" customFormat="1" ht="12">
      <c r="A32" s="206" t="s">
        <v>392</v>
      </c>
      <c r="B32" s="206" t="s">
        <v>22</v>
      </c>
      <c r="C32" s="281">
        <v>30</v>
      </c>
      <c r="D32" s="281">
        <v>32</v>
      </c>
      <c r="E32" s="281">
        <v>28</v>
      </c>
      <c r="F32" s="281">
        <v>31</v>
      </c>
      <c r="G32" s="281">
        <v>29</v>
      </c>
      <c r="H32" s="281">
        <v>33</v>
      </c>
      <c r="I32" s="281">
        <v>33</v>
      </c>
      <c r="J32" s="281">
        <v>30</v>
      </c>
      <c r="K32" s="281">
        <v>29</v>
      </c>
      <c r="L32" s="281">
        <v>29</v>
      </c>
      <c r="M32" s="281">
        <v>31</v>
      </c>
      <c r="N32" s="281">
        <v>31</v>
      </c>
      <c r="O32" s="282">
        <f>SUM(C32:N32)</f>
        <v>366</v>
      </c>
      <c r="P32" s="209"/>
      <c r="Q32" s="221"/>
    </row>
    <row r="33" spans="1:17" s="210" customFormat="1" ht="12">
      <c r="A33" s="206"/>
      <c r="B33" s="206" t="s">
        <v>23</v>
      </c>
      <c r="C33" s="281">
        <f>C31/C32</f>
        <v>5786.666666666667</v>
      </c>
      <c r="D33" s="281">
        <f t="shared" ref="D33:O33" si="9">D31/D32</f>
        <v>10718.75</v>
      </c>
      <c r="E33" s="281">
        <f t="shared" si="9"/>
        <v>6350</v>
      </c>
      <c r="F33" s="281">
        <f t="shared" si="9"/>
        <v>4470.9677419354839</v>
      </c>
      <c r="G33" s="281">
        <f t="shared" si="9"/>
        <v>1110.344827586207</v>
      </c>
      <c r="H33" s="281">
        <f t="shared" si="9"/>
        <v>254.54545454545453</v>
      </c>
      <c r="I33" s="281">
        <f t="shared" si="9"/>
        <v>339.39393939393938</v>
      </c>
      <c r="J33" s="281">
        <f t="shared" si="9"/>
        <v>280</v>
      </c>
      <c r="K33" s="281">
        <f>K31/K32</f>
        <v>482.75862068965517</v>
      </c>
      <c r="L33" s="281">
        <f t="shared" si="9"/>
        <v>482.75862068965517</v>
      </c>
      <c r="M33" s="281">
        <f t="shared" si="9"/>
        <v>316.12903225806451</v>
      </c>
      <c r="N33" s="281">
        <f t="shared" si="9"/>
        <v>1625.8064516129032</v>
      </c>
      <c r="O33" s="281">
        <f t="shared" si="9"/>
        <v>2681.4207650273224</v>
      </c>
      <c r="P33" s="209"/>
      <c r="Q33" s="221"/>
    </row>
    <row r="34" spans="1:17" s="210" customFormat="1" ht="12">
      <c r="A34" s="206" t="s">
        <v>13</v>
      </c>
      <c r="B34" s="206" t="s">
        <v>15</v>
      </c>
      <c r="C34" s="276">
        <v>22245</v>
      </c>
      <c r="D34" s="276">
        <v>33798</v>
      </c>
      <c r="E34" s="276">
        <v>23722</v>
      </c>
      <c r="F34" s="276">
        <v>16628</v>
      </c>
      <c r="G34" s="276">
        <v>7086</v>
      </c>
      <c r="H34" s="276">
        <v>1176.17</v>
      </c>
      <c r="I34" s="276">
        <v>1290</v>
      </c>
      <c r="J34" s="276">
        <v>1319</v>
      </c>
      <c r="K34" s="276">
        <v>1508</v>
      </c>
      <c r="L34" s="276">
        <v>1631</v>
      </c>
      <c r="M34" s="276">
        <v>1265</v>
      </c>
      <c r="N34" s="276">
        <v>8465</v>
      </c>
      <c r="O34" s="282">
        <f>SUM(C34:N34)</f>
        <v>120133.17</v>
      </c>
      <c r="P34" s="209"/>
      <c r="Q34" s="221"/>
    </row>
    <row r="35" spans="1:17" s="210" customFormat="1" ht="12">
      <c r="A35" s="206"/>
      <c r="B35" s="206" t="s">
        <v>16</v>
      </c>
      <c r="C35" s="368">
        <f>C34/C31</f>
        <v>0.12813940092165899</v>
      </c>
      <c r="D35" s="368">
        <f>D34/D31</f>
        <v>9.8536443148688049E-2</v>
      </c>
      <c r="E35" s="368">
        <f t="shared" ref="E35:O35" si="10">E34/E31</f>
        <v>0.13341957255343082</v>
      </c>
      <c r="F35" s="368">
        <f t="shared" si="10"/>
        <v>0.11997113997113996</v>
      </c>
      <c r="G35" s="368">
        <f t="shared" si="10"/>
        <v>0.22006211180124224</v>
      </c>
      <c r="H35" s="368">
        <f t="shared" si="10"/>
        <v>0.14002023809523811</v>
      </c>
      <c r="I35" s="368">
        <f t="shared" si="10"/>
        <v>0.11517857142857142</v>
      </c>
      <c r="J35" s="368">
        <f t="shared" si="10"/>
        <v>0.15702380952380951</v>
      </c>
      <c r="K35" s="368">
        <f>K34/K31</f>
        <v>0.10771428571428572</v>
      </c>
      <c r="L35" s="368">
        <f t="shared" si="10"/>
        <v>0.11650000000000001</v>
      </c>
      <c r="M35" s="368">
        <f t="shared" si="10"/>
        <v>0.12908163265306122</v>
      </c>
      <c r="N35" s="368">
        <f t="shared" si="10"/>
        <v>0.16795634920634919</v>
      </c>
      <c r="O35" s="368">
        <f t="shared" si="10"/>
        <v>0.12240999592418993</v>
      </c>
      <c r="P35" s="209"/>
      <c r="Q35" s="221"/>
    </row>
    <row r="36" spans="1:17" s="210" customFormat="1" ht="12">
      <c r="A36" s="206" t="s">
        <v>289</v>
      </c>
      <c r="B36" s="206" t="s">
        <v>24</v>
      </c>
      <c r="C36" s="281">
        <v>1054</v>
      </c>
      <c r="D36" s="281">
        <v>1136</v>
      </c>
      <c r="E36" s="281">
        <v>1091</v>
      </c>
      <c r="F36" s="281">
        <v>648</v>
      </c>
      <c r="G36" s="281">
        <v>535</v>
      </c>
      <c r="H36" s="281">
        <v>76</v>
      </c>
      <c r="I36" s="281">
        <v>68</v>
      </c>
      <c r="J36" s="281">
        <v>80</v>
      </c>
      <c r="K36" s="288">
        <v>60</v>
      </c>
      <c r="L36" s="281">
        <v>75</v>
      </c>
      <c r="M36" s="281">
        <v>66</v>
      </c>
      <c r="N36" s="281">
        <v>488</v>
      </c>
      <c r="O36" s="282">
        <f>SUM(C36:N36)</f>
        <v>5377</v>
      </c>
      <c r="P36" s="209"/>
      <c r="Q36" s="221"/>
    </row>
    <row r="37" spans="1:17" s="210" customFormat="1" ht="12">
      <c r="A37" s="206" t="s">
        <v>289</v>
      </c>
      <c r="B37" s="206" t="s">
        <v>173</v>
      </c>
      <c r="C37" s="276">
        <v>9620</v>
      </c>
      <c r="D37" s="276">
        <v>10883</v>
      </c>
      <c r="E37" s="276">
        <v>709</v>
      </c>
      <c r="F37" s="276">
        <v>7102</v>
      </c>
      <c r="G37" s="276">
        <v>4445</v>
      </c>
      <c r="H37" s="276">
        <v>569.24</v>
      </c>
      <c r="I37" s="276">
        <v>509</v>
      </c>
      <c r="J37" s="276">
        <v>599</v>
      </c>
      <c r="K37" s="276">
        <v>449</v>
      </c>
      <c r="L37" s="276">
        <v>562</v>
      </c>
      <c r="M37" s="276">
        <v>494</v>
      </c>
      <c r="N37" s="276">
        <v>3655</v>
      </c>
      <c r="O37" s="282">
        <f>SUM(C37:N37)</f>
        <v>39596.239999999998</v>
      </c>
      <c r="P37" s="209"/>
      <c r="Q37" s="221"/>
    </row>
    <row r="38" spans="1:17" s="210" customFormat="1" ht="12">
      <c r="A38" s="206"/>
      <c r="B38" s="206" t="s">
        <v>174</v>
      </c>
      <c r="C38" s="281">
        <f>SUM(3412*C31)/1000</f>
        <v>592323.19999999995</v>
      </c>
      <c r="D38" s="281">
        <f t="shared" ref="D38:O38" si="11">SUM(3412*D31)/1000</f>
        <v>1170316</v>
      </c>
      <c r="E38" s="281">
        <f t="shared" si="11"/>
        <v>606653.6</v>
      </c>
      <c r="F38" s="281">
        <f t="shared" si="11"/>
        <v>472903.2</v>
      </c>
      <c r="G38" s="281">
        <f t="shared" si="11"/>
        <v>109866.4</v>
      </c>
      <c r="H38" s="281">
        <f t="shared" si="11"/>
        <v>28660.799999999999</v>
      </c>
      <c r="I38" s="281">
        <f t="shared" si="11"/>
        <v>38214.400000000001</v>
      </c>
      <c r="J38" s="281">
        <f t="shared" si="11"/>
        <v>28660.799999999999</v>
      </c>
      <c r="K38" s="281">
        <f>SUM(3412*K31)/1000</f>
        <v>47768</v>
      </c>
      <c r="L38" s="281">
        <f t="shared" si="11"/>
        <v>47768</v>
      </c>
      <c r="M38" s="281">
        <f t="shared" si="11"/>
        <v>33437.599999999999</v>
      </c>
      <c r="N38" s="281">
        <f t="shared" si="11"/>
        <v>171964.79999999999</v>
      </c>
      <c r="O38" s="281">
        <f t="shared" si="11"/>
        <v>3348536.8</v>
      </c>
      <c r="P38" s="209"/>
      <c r="Q38" s="221"/>
    </row>
    <row r="39" spans="1:17" s="210" customFormat="1" ht="12">
      <c r="A39" s="206"/>
      <c r="B39" s="206"/>
      <c r="C39" s="281"/>
      <c r="D39" s="281"/>
      <c r="E39" s="281"/>
      <c r="F39" s="281"/>
      <c r="G39" s="281"/>
      <c r="H39" s="281"/>
      <c r="I39" s="281"/>
      <c r="J39" s="281"/>
      <c r="K39" s="281"/>
      <c r="L39" s="281"/>
      <c r="M39" s="281"/>
      <c r="N39" s="281"/>
      <c r="O39" s="282"/>
      <c r="P39" s="209"/>
      <c r="Q39" s="221"/>
    </row>
    <row r="40" spans="1:17" s="210" customFormat="1" ht="12">
      <c r="A40" s="206" t="s">
        <v>393</v>
      </c>
      <c r="B40" s="206" t="s">
        <v>21</v>
      </c>
      <c r="C40" s="281">
        <f>C22+C31</f>
        <v>912800</v>
      </c>
      <c r="D40" s="281">
        <f t="shared" ref="D40:O40" si="12">D22+D31</f>
        <v>1193500</v>
      </c>
      <c r="E40" s="281">
        <f t="shared" si="12"/>
        <v>866600</v>
      </c>
      <c r="F40" s="281">
        <f t="shared" si="12"/>
        <v>1045800</v>
      </c>
      <c r="G40" s="281">
        <f t="shared" si="12"/>
        <v>947800</v>
      </c>
      <c r="H40" s="281">
        <f t="shared" si="12"/>
        <v>1035300</v>
      </c>
      <c r="I40" s="281">
        <f t="shared" si="12"/>
        <v>1059100</v>
      </c>
      <c r="J40" s="281">
        <f t="shared" si="12"/>
        <v>953400</v>
      </c>
      <c r="K40" s="281">
        <f>K22+K31</f>
        <v>1057700</v>
      </c>
      <c r="L40" s="281">
        <f t="shared" si="12"/>
        <v>971600</v>
      </c>
      <c r="M40" s="281">
        <f t="shared" si="12"/>
        <v>1005200</v>
      </c>
      <c r="N40" s="281">
        <f t="shared" si="12"/>
        <v>867300</v>
      </c>
      <c r="O40" s="281">
        <f t="shared" si="12"/>
        <v>11916100</v>
      </c>
      <c r="P40" s="209"/>
      <c r="Q40" s="221"/>
    </row>
    <row r="41" spans="1:17" s="210" customFormat="1" ht="12">
      <c r="A41" s="206"/>
      <c r="B41" s="206" t="s">
        <v>16</v>
      </c>
      <c r="C41" s="368">
        <f t="shared" ref="C41:O41" si="13">C42/C40</f>
        <v>8.8858457493426815E-2</v>
      </c>
      <c r="D41" s="368">
        <f t="shared" si="13"/>
        <v>8.5782991202346046E-2</v>
      </c>
      <c r="E41" s="368">
        <f t="shared" si="13"/>
        <v>9.2808677590583893E-2</v>
      </c>
      <c r="F41" s="368">
        <f t="shared" si="13"/>
        <v>8.7329317269076306E-2</v>
      </c>
      <c r="G41" s="368">
        <f t="shared" si="13"/>
        <v>8.2449883941759866E-2</v>
      </c>
      <c r="H41" s="368">
        <f t="shared" si="13"/>
        <v>7.295424514633439E-2</v>
      </c>
      <c r="I41" s="368">
        <f t="shared" si="13"/>
        <v>7.3083750354074217E-2</v>
      </c>
      <c r="J41" s="368">
        <f t="shared" si="13"/>
        <v>7.6722257184812251E-2</v>
      </c>
      <c r="K41" s="368">
        <f t="shared" si="13"/>
        <v>7.859317386782641E-2</v>
      </c>
      <c r="L41" s="368">
        <f t="shared" si="13"/>
        <v>7.7878756689995887E-2</v>
      </c>
      <c r="M41" s="368">
        <f t="shared" si="13"/>
        <v>7.9578193394349378E-2</v>
      </c>
      <c r="N41" s="368">
        <f t="shared" si="13"/>
        <v>9.4012452438602553E-2</v>
      </c>
      <c r="O41" s="368">
        <f t="shared" si="13"/>
        <v>8.2224765653191909E-2</v>
      </c>
      <c r="P41" s="209"/>
      <c r="Q41" s="221"/>
    </row>
    <row r="42" spans="1:17" s="276" customFormat="1" ht="12">
      <c r="B42" s="206" t="s">
        <v>15</v>
      </c>
      <c r="C42" s="276">
        <f>C25+C34</f>
        <v>81110</v>
      </c>
      <c r="D42" s="276">
        <f t="shared" ref="D42:O42" si="14">D25+D34</f>
        <v>102382</v>
      </c>
      <c r="E42" s="276">
        <f t="shared" si="14"/>
        <v>80428</v>
      </c>
      <c r="F42" s="276">
        <f t="shared" si="14"/>
        <v>91329</v>
      </c>
      <c r="G42" s="276">
        <f t="shared" si="14"/>
        <v>78146</v>
      </c>
      <c r="H42" s="276">
        <f t="shared" si="14"/>
        <v>75529.53</v>
      </c>
      <c r="I42" s="276">
        <f t="shared" si="14"/>
        <v>77403</v>
      </c>
      <c r="J42" s="276">
        <f t="shared" si="14"/>
        <v>73147</v>
      </c>
      <c r="K42" s="276">
        <f t="shared" si="14"/>
        <v>83128</v>
      </c>
      <c r="L42" s="276">
        <f t="shared" si="14"/>
        <v>75667</v>
      </c>
      <c r="M42" s="276">
        <f t="shared" si="14"/>
        <v>79992</v>
      </c>
      <c r="N42" s="276">
        <f t="shared" si="14"/>
        <v>81537</v>
      </c>
      <c r="O42" s="276">
        <f t="shared" si="14"/>
        <v>979798.53</v>
      </c>
    </row>
    <row r="43" spans="1:17" s="210" customFormat="1" ht="12">
      <c r="A43" s="220"/>
      <c r="B43" s="207"/>
      <c r="C43" s="281"/>
      <c r="D43" s="281"/>
      <c r="E43" s="281"/>
      <c r="F43" s="281"/>
      <c r="G43" s="281"/>
      <c r="H43" s="281"/>
      <c r="I43" s="281"/>
      <c r="J43" s="281"/>
      <c r="K43" s="281"/>
      <c r="L43" s="281"/>
      <c r="M43" s="281"/>
      <c r="N43" s="281"/>
      <c r="O43" s="282"/>
      <c r="P43" s="209"/>
      <c r="Q43" s="221"/>
    </row>
    <row r="44" spans="1:17" s="227" customFormat="1" ht="6" customHeight="1">
      <c r="A44" s="226"/>
      <c r="B44" s="228"/>
      <c r="C44" s="113"/>
      <c r="D44" s="113"/>
      <c r="E44" s="113"/>
      <c r="F44" s="113"/>
      <c r="G44" s="113"/>
      <c r="H44" s="113"/>
      <c r="I44" s="113"/>
      <c r="J44" s="113"/>
      <c r="K44" s="113"/>
      <c r="L44" s="113"/>
      <c r="M44" s="113"/>
      <c r="N44" s="113"/>
      <c r="O44" s="113"/>
      <c r="P44" s="229"/>
      <c r="Q44" s="226"/>
    </row>
    <row r="45" spans="1:17" s="210" customFormat="1" ht="12">
      <c r="A45" s="222" t="s">
        <v>293</v>
      </c>
      <c r="B45" s="207"/>
      <c r="C45" s="290">
        <f>SUM(C19,C29,C38)/1000</f>
        <v>3114.4735999999998</v>
      </c>
      <c r="D45" s="290">
        <f>SUM(D19,D29,D38)/1000</f>
        <v>4072.2220000000002</v>
      </c>
      <c r="E45" s="290">
        <f>SUM(E19,E29,E38)/1000</f>
        <v>2956.8392000000003</v>
      </c>
      <c r="F45" s="290">
        <f>SUM(F19,F29,F38)/1000</f>
        <v>4190.2696000000005</v>
      </c>
      <c r="G45" s="290">
        <f>SUM(G19,G29,G38)/1000</f>
        <v>10131.893599999999</v>
      </c>
      <c r="H45" s="290">
        <f t="shared" ref="H45:O45" si="15">SUM(H19,H29,H38)/1000</f>
        <v>13423.443600000002</v>
      </c>
      <c r="I45" s="290">
        <f t="shared" si="15"/>
        <v>17192.6492</v>
      </c>
      <c r="J45" s="290">
        <f t="shared" si="15"/>
        <v>18030.000800000002</v>
      </c>
      <c r="K45" s="290">
        <f t="shared" si="15"/>
        <v>15514.572400000001</v>
      </c>
      <c r="L45" s="290">
        <f t="shared" si="15"/>
        <v>16583.199199999999</v>
      </c>
      <c r="M45" s="290">
        <f t="shared" si="15"/>
        <v>12053.742400000001</v>
      </c>
      <c r="N45" s="290">
        <f t="shared" si="15"/>
        <v>5704.2275999999993</v>
      </c>
      <c r="O45" s="290">
        <f t="shared" si="15"/>
        <v>122967.53320000001</v>
      </c>
      <c r="P45" s="223"/>
      <c r="Q45" s="209"/>
    </row>
    <row r="46" spans="1:17" s="227" customFormat="1" ht="6" customHeight="1">
      <c r="A46" s="226"/>
      <c r="B46" s="226"/>
      <c r="C46" s="104"/>
      <c r="D46" s="104"/>
      <c r="E46" s="114" t="s">
        <v>13</v>
      </c>
      <c r="F46" s="104"/>
      <c r="G46" s="104"/>
      <c r="H46" s="104"/>
      <c r="I46" s="104"/>
      <c r="J46" s="104"/>
      <c r="K46" s="104"/>
      <c r="L46" s="104"/>
      <c r="M46" s="104"/>
      <c r="N46" s="104"/>
      <c r="O46" s="105"/>
      <c r="P46" s="226"/>
      <c r="Q46" s="235"/>
    </row>
    <row r="47" spans="1:17" ht="12">
      <c r="A47" s="206" t="s">
        <v>25</v>
      </c>
      <c r="B47" s="206" t="s">
        <v>13</v>
      </c>
      <c r="C47" s="274">
        <v>0</v>
      </c>
      <c r="D47" s="274">
        <v>0</v>
      </c>
      <c r="E47" s="274">
        <v>0</v>
      </c>
      <c r="F47" s="274">
        <v>383000</v>
      </c>
      <c r="G47" s="274">
        <v>5746000</v>
      </c>
      <c r="H47" s="274">
        <v>7934000</v>
      </c>
      <c r="I47" s="274">
        <v>10943000</v>
      </c>
      <c r="J47" s="274">
        <v>12697000</v>
      </c>
      <c r="K47" s="274">
        <v>9839077</v>
      </c>
      <c r="L47" s="274">
        <v>9433891</v>
      </c>
      <c r="M47" s="274">
        <v>7604590</v>
      </c>
      <c r="N47" s="274">
        <v>2523000</v>
      </c>
      <c r="O47" s="277">
        <f>SUM(C47:N47)</f>
        <v>67103558</v>
      </c>
      <c r="P47" s="208"/>
      <c r="Q47" s="208"/>
    </row>
    <row r="48" spans="1:17" ht="12">
      <c r="A48" s="206" t="s">
        <v>26</v>
      </c>
      <c r="B48" s="206"/>
      <c r="C48" s="292">
        <v>0</v>
      </c>
      <c r="D48" s="292">
        <v>0</v>
      </c>
      <c r="E48" s="292">
        <v>0</v>
      </c>
      <c r="F48" s="292">
        <f t="shared" ref="F48:N48" si="16">(F47*884)/(F19*1000)</f>
        <v>0.54432797427652735</v>
      </c>
      <c r="G48" s="292">
        <f t="shared" si="16"/>
        <v>0.7363676427950131</v>
      </c>
      <c r="H48" s="292">
        <f t="shared" si="16"/>
        <v>0.70909473258517841</v>
      </c>
      <c r="I48" s="292">
        <f t="shared" si="16"/>
        <v>0.71239502172472202</v>
      </c>
      <c r="J48" s="292">
        <f t="shared" si="16"/>
        <v>0.75956878933477701</v>
      </c>
      <c r="K48" s="292">
        <f t="shared" si="16"/>
        <v>0.7305529341407897</v>
      </c>
      <c r="L48" s="292">
        <f t="shared" si="16"/>
        <v>0.62854211560057582</v>
      </c>
      <c r="M48" s="292">
        <f t="shared" si="16"/>
        <v>0.7795057467532468</v>
      </c>
      <c r="N48" s="292">
        <f t="shared" si="16"/>
        <v>0.81250710382513658</v>
      </c>
      <c r="O48" s="293">
        <f>SUM(C48:N48)/8</f>
        <v>0.80160775762949577</v>
      </c>
      <c r="P48" s="224"/>
      <c r="Q48" s="208"/>
    </row>
    <row r="49" spans="1:17" ht="12">
      <c r="A49" s="206" t="s">
        <v>27</v>
      </c>
      <c r="B49" s="211"/>
      <c r="C49" s="274">
        <v>0</v>
      </c>
      <c r="D49" s="274">
        <v>2</v>
      </c>
      <c r="E49" s="274">
        <v>40</v>
      </c>
      <c r="F49" s="274">
        <v>107</v>
      </c>
      <c r="G49" s="274">
        <v>515</v>
      </c>
      <c r="H49" s="274">
        <v>811</v>
      </c>
      <c r="I49" s="274">
        <v>1222</v>
      </c>
      <c r="J49" s="274">
        <v>1430</v>
      </c>
      <c r="K49" s="274">
        <v>1258</v>
      </c>
      <c r="L49" s="274">
        <v>1161</v>
      </c>
      <c r="M49" s="274">
        <v>756</v>
      </c>
      <c r="N49" s="274">
        <v>260</v>
      </c>
      <c r="O49" s="277">
        <f>SUM(C49:N49)</f>
        <v>7562</v>
      </c>
      <c r="P49" s="208"/>
      <c r="Q49" s="208"/>
    </row>
    <row r="50" spans="1:17" ht="12">
      <c r="A50" s="206" t="s">
        <v>28</v>
      </c>
      <c r="B50" s="211"/>
      <c r="C50" s="274">
        <v>277</v>
      </c>
      <c r="D50" s="274">
        <v>438</v>
      </c>
      <c r="E50" s="274">
        <v>271</v>
      </c>
      <c r="F50" s="274">
        <v>148</v>
      </c>
      <c r="G50" s="274">
        <v>8</v>
      </c>
      <c r="H50" s="274">
        <v>0</v>
      </c>
      <c r="I50" s="274">
        <v>0</v>
      </c>
      <c r="J50" s="274">
        <v>0</v>
      </c>
      <c r="K50" s="274">
        <v>0</v>
      </c>
      <c r="L50" s="274">
        <v>0</v>
      </c>
      <c r="M50" s="274">
        <v>13</v>
      </c>
      <c r="N50" s="274">
        <v>87</v>
      </c>
      <c r="O50" s="277">
        <f>SUM(C50:N50)</f>
        <v>1242</v>
      </c>
      <c r="P50" s="208"/>
      <c r="Q50" s="208"/>
    </row>
    <row r="51" spans="1:17" ht="12">
      <c r="A51" s="107" t="s">
        <v>416</v>
      </c>
      <c r="B51" s="105"/>
      <c r="C51" s="274">
        <v>344</v>
      </c>
      <c r="D51" s="274">
        <v>214</v>
      </c>
      <c r="E51" s="274">
        <v>62</v>
      </c>
      <c r="F51" s="274">
        <v>138</v>
      </c>
      <c r="G51" s="274">
        <v>1</v>
      </c>
      <c r="H51" s="274">
        <v>0</v>
      </c>
      <c r="I51" s="274">
        <v>0</v>
      </c>
      <c r="J51" s="274">
        <v>0</v>
      </c>
      <c r="K51" s="274">
        <v>0</v>
      </c>
      <c r="L51" s="274">
        <v>0</v>
      </c>
      <c r="M51" s="274">
        <v>0</v>
      </c>
      <c r="N51" s="274">
        <v>73</v>
      </c>
      <c r="O51" s="277">
        <f>SUM(C51:N51)</f>
        <v>832</v>
      </c>
      <c r="P51" s="208"/>
      <c r="Q51" s="208"/>
    </row>
    <row r="52" spans="1:17" ht="12">
      <c r="A52" s="107" t="s">
        <v>417</v>
      </c>
      <c r="B52" s="105"/>
      <c r="C52" s="274">
        <v>104</v>
      </c>
      <c r="D52" s="274">
        <v>528</v>
      </c>
      <c r="E52" s="274">
        <v>4</v>
      </c>
      <c r="F52" s="274">
        <v>150</v>
      </c>
      <c r="G52" s="274">
        <v>17</v>
      </c>
      <c r="H52" s="274">
        <v>0</v>
      </c>
      <c r="I52" s="274">
        <v>0</v>
      </c>
      <c r="J52" s="274">
        <v>0</v>
      </c>
      <c r="K52" s="274">
        <v>0</v>
      </c>
      <c r="L52" s="274">
        <v>0</v>
      </c>
      <c r="M52" s="274">
        <v>0</v>
      </c>
      <c r="N52" s="274">
        <v>142</v>
      </c>
      <c r="O52" s="277">
        <f>SUM(C52:N52)</f>
        <v>945</v>
      </c>
      <c r="P52" s="208"/>
    </row>
    <row r="53" spans="1:17" ht="12">
      <c r="A53" s="107" t="s">
        <v>418</v>
      </c>
      <c r="B53" s="105"/>
      <c r="C53" s="274">
        <v>245</v>
      </c>
      <c r="D53" s="274">
        <v>73</v>
      </c>
      <c r="E53" s="274">
        <v>551</v>
      </c>
      <c r="F53" s="274">
        <v>37</v>
      </c>
      <c r="G53" s="274">
        <v>18</v>
      </c>
      <c r="H53" s="274">
        <v>0</v>
      </c>
      <c r="I53" s="274">
        <v>0</v>
      </c>
      <c r="J53" s="274">
        <v>0</v>
      </c>
      <c r="K53" s="274">
        <v>0</v>
      </c>
      <c r="L53" s="274">
        <v>0</v>
      </c>
      <c r="M53" s="274">
        <v>0</v>
      </c>
      <c r="N53" s="274">
        <v>1</v>
      </c>
      <c r="O53" s="277">
        <f>SUM(C53:N53)</f>
        <v>925</v>
      </c>
      <c r="P53" s="208"/>
    </row>
    <row r="54" spans="1:17" s="146" customFormat="1" ht="11.25" customHeight="1">
      <c r="A54" s="147"/>
      <c r="B54" s="147"/>
      <c r="C54" s="104"/>
      <c r="D54" s="104"/>
      <c r="E54" s="104"/>
      <c r="F54" s="104"/>
      <c r="G54" s="104"/>
      <c r="H54" s="104"/>
      <c r="I54" s="104"/>
      <c r="J54" s="104"/>
      <c r="K54" s="104"/>
      <c r="L54" s="104"/>
      <c r="M54" s="104"/>
      <c r="N54" s="104"/>
      <c r="O54" s="105"/>
    </row>
    <row r="55" spans="1:17">
      <c r="A55" s="199" t="s">
        <v>486</v>
      </c>
      <c r="B55" s="225"/>
      <c r="C55" s="317"/>
      <c r="D55" s="317"/>
    </row>
    <row r="56" spans="1:17" s="227" customFormat="1" ht="12" customHeight="1">
      <c r="A56" s="318" t="s">
        <v>314</v>
      </c>
      <c r="B56" s="234"/>
    </row>
    <row r="57" spans="1:17" s="205" customFormat="1">
      <c r="A57" s="201"/>
      <c r="B57" s="201"/>
      <c r="C57" s="202" t="s">
        <v>53</v>
      </c>
      <c r="D57" s="203" t="s">
        <v>54</v>
      </c>
      <c r="E57" s="203" t="s">
        <v>55</v>
      </c>
      <c r="F57" s="203" t="s">
        <v>3</v>
      </c>
      <c r="G57" s="203" t="s">
        <v>4</v>
      </c>
      <c r="H57" s="203" t="s">
        <v>5</v>
      </c>
      <c r="I57" s="203" t="s">
        <v>6</v>
      </c>
      <c r="J57" s="203" t="s">
        <v>7</v>
      </c>
      <c r="K57" s="203" t="s">
        <v>8</v>
      </c>
      <c r="L57" s="203" t="s">
        <v>62</v>
      </c>
      <c r="M57" s="203" t="s">
        <v>63</v>
      </c>
      <c r="N57" s="203" t="s">
        <v>11</v>
      </c>
      <c r="O57" s="204" t="s">
        <v>12</v>
      </c>
      <c r="Q57" s="203"/>
    </row>
    <row r="58" spans="1:17" s="210" customFormat="1" ht="12">
      <c r="A58" s="206" t="s">
        <v>14</v>
      </c>
      <c r="B58" s="207" t="s">
        <v>290</v>
      </c>
      <c r="C58" s="274">
        <v>0</v>
      </c>
      <c r="D58" s="274">
        <v>0</v>
      </c>
      <c r="E58" s="274">
        <v>0</v>
      </c>
      <c r="F58" s="274">
        <v>119</v>
      </c>
      <c r="G58" s="274">
        <v>4726</v>
      </c>
      <c r="H58" s="274">
        <v>9983</v>
      </c>
      <c r="I58" s="274">
        <v>12738</v>
      </c>
      <c r="J58" s="274">
        <v>12291</v>
      </c>
      <c r="K58" s="274">
        <v>11934</v>
      </c>
      <c r="L58" s="274">
        <v>6124</v>
      </c>
      <c r="M58" s="274">
        <v>5408</v>
      </c>
      <c r="N58" s="274">
        <v>1268</v>
      </c>
      <c r="O58" s="277">
        <f>SUM(C58:N58)</f>
        <v>64591</v>
      </c>
      <c r="P58" s="209"/>
      <c r="Q58" s="209"/>
    </row>
    <row r="59" spans="1:17" s="214" customFormat="1" ht="12">
      <c r="A59" s="211"/>
      <c r="B59" s="212" t="s">
        <v>15</v>
      </c>
      <c r="C59" s="275">
        <v>311.17</v>
      </c>
      <c r="D59" s="275">
        <v>311.17</v>
      </c>
      <c r="E59" s="275">
        <v>311.17</v>
      </c>
      <c r="F59" s="275">
        <v>921</v>
      </c>
      <c r="G59" s="275">
        <v>24175</v>
      </c>
      <c r="H59" s="275">
        <v>52924.13</v>
      </c>
      <c r="I59" s="275">
        <v>66790</v>
      </c>
      <c r="J59" s="275">
        <v>60419</v>
      </c>
      <c r="K59" s="275">
        <v>56345</v>
      </c>
      <c r="L59" s="275">
        <v>28973</v>
      </c>
      <c r="M59" s="275">
        <v>20384.2</v>
      </c>
      <c r="N59" s="275">
        <v>4172</v>
      </c>
      <c r="O59" s="278">
        <f>SUM(C59:N59)</f>
        <v>316036.84000000003</v>
      </c>
      <c r="P59" s="213"/>
      <c r="Q59" s="213"/>
    </row>
    <row r="60" spans="1:17" s="218" customFormat="1" ht="12">
      <c r="A60" s="215"/>
      <c r="B60" s="216" t="s">
        <v>16</v>
      </c>
      <c r="C60" s="276">
        <v>0</v>
      </c>
      <c r="D60" s="276">
        <v>0</v>
      </c>
      <c r="E60" s="276">
        <v>0</v>
      </c>
      <c r="F60" s="276">
        <v>0</v>
      </c>
      <c r="G60" s="276">
        <f t="shared" ref="G60:N60" si="17">(G59/G58)</f>
        <v>5.1153195090986037</v>
      </c>
      <c r="H60" s="276">
        <f t="shared" si="17"/>
        <v>5.3014254232194729</v>
      </c>
      <c r="I60" s="276">
        <f t="shared" si="17"/>
        <v>5.2433663055424713</v>
      </c>
      <c r="J60" s="276">
        <f t="shared" si="17"/>
        <v>4.9157106826132946</v>
      </c>
      <c r="K60" s="276">
        <f t="shared" si="17"/>
        <v>4.7213842802078094</v>
      </c>
      <c r="L60" s="276">
        <f t="shared" si="17"/>
        <v>4.7310581319399088</v>
      </c>
      <c r="M60" s="276">
        <f t="shared" si="17"/>
        <v>3.7692677514792901</v>
      </c>
      <c r="N60" s="276">
        <f t="shared" si="17"/>
        <v>3.2902208201892744</v>
      </c>
      <c r="O60" s="283">
        <f>(O59/O58)</f>
        <v>4.892892817884845</v>
      </c>
      <c r="P60" s="217"/>
      <c r="Q60" s="217"/>
    </row>
    <row r="61" spans="1:17" s="210" customFormat="1" ht="12">
      <c r="A61" s="211"/>
      <c r="B61" s="207" t="s">
        <v>291</v>
      </c>
      <c r="C61" s="274">
        <f>(C58*100000)/1000</f>
        <v>0</v>
      </c>
      <c r="D61" s="274">
        <f>(D58*100000)/1000</f>
        <v>0</v>
      </c>
      <c r="E61" s="274">
        <f>(E58*100000)/1000</f>
        <v>0</v>
      </c>
      <c r="F61" s="274">
        <f>(F58*1000)</f>
        <v>119000</v>
      </c>
      <c r="G61" s="274">
        <f>(G58*1000)</f>
        <v>4726000</v>
      </c>
      <c r="H61" s="274">
        <f>(H58*1000)</f>
        <v>9983000</v>
      </c>
      <c r="I61" s="274">
        <f>I58*1000</f>
        <v>12738000</v>
      </c>
      <c r="J61" s="274">
        <f>(J58*1000000)/1000</f>
        <v>12291000</v>
      </c>
      <c r="K61" s="274">
        <f>(K58*1000000)/1000</f>
        <v>11934000</v>
      </c>
      <c r="L61" s="274">
        <f>(L58*1000000)/1000</f>
        <v>6124000</v>
      </c>
      <c r="M61" s="274">
        <f>(M58*1000000)/1000</f>
        <v>5408000</v>
      </c>
      <c r="N61" s="274">
        <f>(N58*1000000)/1000</f>
        <v>1268000</v>
      </c>
      <c r="O61" s="277">
        <f>(O58*1000)</f>
        <v>64591000</v>
      </c>
      <c r="P61" s="209"/>
      <c r="Q61" s="209"/>
    </row>
    <row r="62" spans="1:17" s="227" customFormat="1" ht="6" customHeight="1">
      <c r="A62" s="226"/>
      <c r="B62" s="230"/>
      <c r="C62" s="109"/>
      <c r="D62" s="109"/>
      <c r="E62" s="109"/>
      <c r="F62" s="109"/>
      <c r="G62" s="109"/>
      <c r="H62" s="109"/>
      <c r="I62" s="109"/>
      <c r="J62" s="109"/>
      <c r="K62" s="109"/>
      <c r="L62" s="109"/>
      <c r="M62" s="109"/>
      <c r="N62" s="109"/>
      <c r="O62" s="110"/>
      <c r="P62" s="233"/>
      <c r="Q62" s="233"/>
    </row>
    <row r="63" spans="1:17" s="210" customFormat="1" ht="12">
      <c r="A63" s="211" t="s">
        <v>17</v>
      </c>
      <c r="B63" s="207" t="s">
        <v>18</v>
      </c>
      <c r="C63" s="274">
        <v>0</v>
      </c>
      <c r="D63" s="274">
        <v>0</v>
      </c>
      <c r="E63" s="274">
        <v>0</v>
      </c>
      <c r="F63" s="274">
        <v>0</v>
      </c>
      <c r="G63" s="274">
        <v>0</v>
      </c>
      <c r="H63" s="274">
        <v>0</v>
      </c>
      <c r="I63" s="274">
        <v>0</v>
      </c>
      <c r="J63" s="274">
        <v>0</v>
      </c>
      <c r="K63" s="274">
        <v>0</v>
      </c>
      <c r="L63" s="274">
        <v>0</v>
      </c>
      <c r="M63" s="274">
        <v>0</v>
      </c>
      <c r="N63" s="274">
        <v>0</v>
      </c>
      <c r="O63" s="277">
        <f>SUM(C63:N63)</f>
        <v>0</v>
      </c>
      <c r="P63" s="209"/>
      <c r="Q63" s="209"/>
    </row>
    <row r="64" spans="1:17" s="214" customFormat="1" ht="12">
      <c r="A64" s="211"/>
      <c r="B64" s="212" t="s">
        <v>15</v>
      </c>
      <c r="C64" s="275">
        <v>0</v>
      </c>
      <c r="D64" s="275">
        <v>0</v>
      </c>
      <c r="E64" s="275">
        <v>0</v>
      </c>
      <c r="F64" s="275">
        <v>0</v>
      </c>
      <c r="G64" s="275">
        <v>0</v>
      </c>
      <c r="H64" s="275">
        <v>0</v>
      </c>
      <c r="I64" s="275">
        <v>0</v>
      </c>
      <c r="J64" s="275">
        <v>0</v>
      </c>
      <c r="K64" s="275">
        <f>K63*K65</f>
        <v>0</v>
      </c>
      <c r="L64" s="275">
        <f>L63*L65</f>
        <v>0</v>
      </c>
      <c r="M64" s="275">
        <f>M63*M65</f>
        <v>0</v>
      </c>
      <c r="N64" s="275">
        <f>N63*N65</f>
        <v>0</v>
      </c>
      <c r="O64" s="278">
        <f>SUM(C64:N64)</f>
        <v>0</v>
      </c>
      <c r="P64" s="213"/>
      <c r="Q64" s="213"/>
    </row>
    <row r="65" spans="1:17" s="218" customFormat="1" ht="12">
      <c r="A65" s="211"/>
      <c r="B65" s="216" t="s">
        <v>16</v>
      </c>
      <c r="C65" s="279">
        <v>0</v>
      </c>
      <c r="D65" s="279">
        <v>0</v>
      </c>
      <c r="E65" s="279">
        <v>0</v>
      </c>
      <c r="F65" s="279">
        <v>0</v>
      </c>
      <c r="G65" s="279">
        <v>0</v>
      </c>
      <c r="H65" s="279">
        <v>0</v>
      </c>
      <c r="I65" s="279">
        <v>0</v>
      </c>
      <c r="J65" s="279">
        <v>0</v>
      </c>
      <c r="K65" s="279">
        <v>0</v>
      </c>
      <c r="L65" s="279">
        <v>0</v>
      </c>
      <c r="M65" s="279">
        <v>0</v>
      </c>
      <c r="N65" s="279">
        <v>0</v>
      </c>
      <c r="O65" s="280" t="e">
        <f>O64/O63</f>
        <v>#DIV/0!</v>
      </c>
      <c r="P65" s="217"/>
      <c r="Q65" s="217"/>
    </row>
    <row r="66" spans="1:17" s="210" customFormat="1" ht="12">
      <c r="A66" s="211"/>
      <c r="B66" s="207" t="s">
        <v>174</v>
      </c>
      <c r="C66" s="281">
        <f t="shared" ref="C66:I66" si="18">(C63*138000)/1000</f>
        <v>0</v>
      </c>
      <c r="D66" s="281">
        <f t="shared" si="18"/>
        <v>0</v>
      </c>
      <c r="E66" s="281">
        <f t="shared" si="18"/>
        <v>0</v>
      </c>
      <c r="F66" s="281">
        <f t="shared" si="18"/>
        <v>0</v>
      </c>
      <c r="G66" s="281">
        <f t="shared" si="18"/>
        <v>0</v>
      </c>
      <c r="H66" s="281">
        <f t="shared" si="18"/>
        <v>0</v>
      </c>
      <c r="I66" s="281">
        <f t="shared" si="18"/>
        <v>0</v>
      </c>
      <c r="J66" s="281">
        <f>(J63*138000)/1000</f>
        <v>0</v>
      </c>
      <c r="K66" s="281">
        <f>(K63*138000)/1000</f>
        <v>0</v>
      </c>
      <c r="L66" s="281">
        <f>(L63*138000)/1000</f>
        <v>0</v>
      </c>
      <c r="M66" s="281">
        <f>(M63*138000)/1000</f>
        <v>0</v>
      </c>
      <c r="N66" s="281">
        <f>(N63*138000)/1000</f>
        <v>0</v>
      </c>
      <c r="O66" s="282">
        <f>SUM(C66:N66)</f>
        <v>0</v>
      </c>
      <c r="P66" s="209"/>
      <c r="Q66" s="209"/>
    </row>
    <row r="67" spans="1:17" s="227" customFormat="1" ht="6" customHeight="1">
      <c r="A67" s="226"/>
      <c r="B67" s="230"/>
      <c r="C67" s="112"/>
      <c r="D67" s="112"/>
      <c r="E67" s="112"/>
      <c r="F67" s="112"/>
      <c r="G67" s="112"/>
      <c r="H67" s="112"/>
      <c r="I67" s="112"/>
      <c r="J67" s="112"/>
      <c r="K67" s="112"/>
      <c r="L67" s="112"/>
      <c r="M67" s="112"/>
      <c r="N67" s="112"/>
      <c r="O67" s="111"/>
      <c r="P67" s="232"/>
      <c r="Q67" s="233"/>
    </row>
    <row r="68" spans="1:17" s="210" customFormat="1" ht="12">
      <c r="A68" s="206" t="s">
        <v>19</v>
      </c>
      <c r="B68" s="207" t="s">
        <v>18</v>
      </c>
      <c r="C68" s="274">
        <v>0</v>
      </c>
      <c r="D68" s="274">
        <v>0</v>
      </c>
      <c r="E68" s="274">
        <v>0</v>
      </c>
      <c r="F68" s="274">
        <v>0</v>
      </c>
      <c r="G68" s="274">
        <v>0</v>
      </c>
      <c r="H68" s="274">
        <v>0</v>
      </c>
      <c r="I68" s="274">
        <v>0</v>
      </c>
      <c r="J68" s="274">
        <v>0</v>
      </c>
      <c r="K68" s="274">
        <v>0</v>
      </c>
      <c r="L68" s="274">
        <v>0</v>
      </c>
      <c r="M68" s="274">
        <v>0</v>
      </c>
      <c r="N68" s="274">
        <v>0</v>
      </c>
      <c r="O68" s="277">
        <f>SUM(C68:N68)</f>
        <v>0</v>
      </c>
      <c r="P68" s="209"/>
      <c r="Q68" s="209"/>
    </row>
    <row r="69" spans="1:17" s="214" customFormat="1" ht="12">
      <c r="A69" s="211"/>
      <c r="B69" s="212" t="s">
        <v>15</v>
      </c>
      <c r="C69" s="275">
        <v>0</v>
      </c>
      <c r="D69" s="275">
        <v>0</v>
      </c>
      <c r="E69" s="275">
        <v>0</v>
      </c>
      <c r="F69" s="275">
        <v>0</v>
      </c>
      <c r="G69" s="275">
        <v>0</v>
      </c>
      <c r="H69" s="275">
        <f>H68*H70</f>
        <v>0</v>
      </c>
      <c r="I69" s="275">
        <v>0</v>
      </c>
      <c r="J69" s="275">
        <f>J68*J70</f>
        <v>0</v>
      </c>
      <c r="K69" s="275">
        <f>K68*K70</f>
        <v>0</v>
      </c>
      <c r="L69" s="275">
        <v>0</v>
      </c>
      <c r="M69" s="275">
        <f>M68*M70</f>
        <v>0</v>
      </c>
      <c r="N69" s="275">
        <f>N68*N70</f>
        <v>0</v>
      </c>
      <c r="O69" s="278">
        <f>SUM(C69:N69)</f>
        <v>0</v>
      </c>
      <c r="P69" s="213"/>
      <c r="Q69" s="213"/>
    </row>
    <row r="70" spans="1:17" s="218" customFormat="1" ht="12">
      <c r="A70" s="211"/>
      <c r="B70" s="216" t="s">
        <v>16</v>
      </c>
      <c r="C70" s="284">
        <v>0</v>
      </c>
      <c r="D70" s="284">
        <v>0</v>
      </c>
      <c r="E70" s="284">
        <v>0</v>
      </c>
      <c r="F70" s="284">
        <v>0</v>
      </c>
      <c r="G70" s="284">
        <v>0</v>
      </c>
      <c r="H70" s="284">
        <v>0</v>
      </c>
      <c r="I70" s="284">
        <v>0</v>
      </c>
      <c r="J70" s="284">
        <v>0</v>
      </c>
      <c r="K70" s="284">
        <v>0</v>
      </c>
      <c r="L70" s="284">
        <v>0</v>
      </c>
      <c r="M70" s="284">
        <v>0</v>
      </c>
      <c r="N70" s="284">
        <v>0</v>
      </c>
      <c r="O70" s="285" t="e">
        <f>(O69/O68)</f>
        <v>#DIV/0!</v>
      </c>
      <c r="P70" s="217"/>
      <c r="Q70" s="217"/>
    </row>
    <row r="71" spans="1:17" s="210" customFormat="1" ht="12">
      <c r="A71" s="211"/>
      <c r="B71" s="207" t="s">
        <v>174</v>
      </c>
      <c r="C71" s="274">
        <f>(C68*150000)/1000</f>
        <v>0</v>
      </c>
      <c r="D71" s="274">
        <f t="shared" ref="D71:N71" si="19">(D68*150000)/1000</f>
        <v>0</v>
      </c>
      <c r="E71" s="274">
        <f t="shared" si="19"/>
        <v>0</v>
      </c>
      <c r="F71" s="274">
        <f t="shared" si="19"/>
        <v>0</v>
      </c>
      <c r="G71" s="274">
        <f t="shared" si="19"/>
        <v>0</v>
      </c>
      <c r="H71" s="274">
        <f t="shared" si="19"/>
        <v>0</v>
      </c>
      <c r="I71" s="274">
        <f t="shared" si="19"/>
        <v>0</v>
      </c>
      <c r="J71" s="274">
        <f t="shared" si="19"/>
        <v>0</v>
      </c>
      <c r="K71" s="274">
        <f t="shared" si="19"/>
        <v>0</v>
      </c>
      <c r="L71" s="274">
        <f t="shared" si="19"/>
        <v>0</v>
      </c>
      <c r="M71" s="274">
        <f t="shared" si="19"/>
        <v>0</v>
      </c>
      <c r="N71" s="274">
        <f t="shared" si="19"/>
        <v>0</v>
      </c>
      <c r="O71" s="277">
        <f>SUM(C71:N71)</f>
        <v>0</v>
      </c>
      <c r="P71" s="209"/>
      <c r="Q71" s="209"/>
    </row>
    <row r="72" spans="1:17" s="227" customFormat="1" ht="6" customHeight="1">
      <c r="A72" s="226"/>
      <c r="B72" s="230"/>
      <c r="C72" s="108"/>
      <c r="D72" s="108"/>
      <c r="E72" s="108"/>
      <c r="F72" s="108"/>
      <c r="G72" s="108"/>
      <c r="H72" s="108"/>
      <c r="I72" s="108"/>
      <c r="J72" s="108"/>
      <c r="K72" s="108"/>
      <c r="L72" s="108"/>
      <c r="M72" s="108"/>
      <c r="N72" s="108"/>
      <c r="O72" s="106"/>
      <c r="P72" s="231"/>
      <c r="Q72" s="226"/>
    </row>
    <row r="73" spans="1:17" s="210" customFormat="1" ht="12">
      <c r="A73" s="206" t="s">
        <v>138</v>
      </c>
      <c r="B73" s="207" t="s">
        <v>292</v>
      </c>
      <c r="C73" s="274">
        <f t="shared" ref="C73:I73" si="20">SUM(C61+C66+C71)</f>
        <v>0</v>
      </c>
      <c r="D73" s="274">
        <f t="shared" si="20"/>
        <v>0</v>
      </c>
      <c r="E73" s="274">
        <f t="shared" si="20"/>
        <v>0</v>
      </c>
      <c r="F73" s="274">
        <f t="shared" si="20"/>
        <v>119000</v>
      </c>
      <c r="G73" s="274">
        <f t="shared" si="20"/>
        <v>4726000</v>
      </c>
      <c r="H73" s="274">
        <f t="shared" si="20"/>
        <v>9983000</v>
      </c>
      <c r="I73" s="274">
        <f t="shared" si="20"/>
        <v>12738000</v>
      </c>
      <c r="J73" s="274">
        <f>SUM(J61+J66+J71)</f>
        <v>12291000</v>
      </c>
      <c r="K73" s="274">
        <f>SUM(K61+K66+K71)</f>
        <v>11934000</v>
      </c>
      <c r="L73" s="274">
        <f>SUM(L61+L66+L71)</f>
        <v>6124000</v>
      </c>
      <c r="M73" s="274">
        <f>SUM(M61+M66+M71)</f>
        <v>5408000</v>
      </c>
      <c r="N73" s="274">
        <f>SUM(N61+N66+N71)</f>
        <v>1268000</v>
      </c>
      <c r="O73" s="277">
        <f>SUM(C73:N73)</f>
        <v>64591000</v>
      </c>
      <c r="P73" s="209"/>
      <c r="Q73" s="209"/>
    </row>
    <row r="74" spans="1:17" s="214" customFormat="1" ht="12">
      <c r="A74" s="211" t="s">
        <v>137</v>
      </c>
      <c r="B74" s="219"/>
      <c r="C74" s="286">
        <f t="shared" ref="C74:N74" si="21">SUM(C59+C64+C69)</f>
        <v>311.17</v>
      </c>
      <c r="D74" s="286">
        <f t="shared" si="21"/>
        <v>311.17</v>
      </c>
      <c r="E74" s="286">
        <f t="shared" si="21"/>
        <v>311.17</v>
      </c>
      <c r="F74" s="286">
        <f t="shared" si="21"/>
        <v>921</v>
      </c>
      <c r="G74" s="286">
        <f t="shared" si="21"/>
        <v>24175</v>
      </c>
      <c r="H74" s="286">
        <f t="shared" si="21"/>
        <v>52924.13</v>
      </c>
      <c r="I74" s="286">
        <f t="shared" si="21"/>
        <v>66790</v>
      </c>
      <c r="J74" s="286">
        <f t="shared" si="21"/>
        <v>60419</v>
      </c>
      <c r="K74" s="286">
        <f t="shared" si="21"/>
        <v>56345</v>
      </c>
      <c r="L74" s="286">
        <f t="shared" si="21"/>
        <v>28973</v>
      </c>
      <c r="M74" s="286">
        <f t="shared" si="21"/>
        <v>20384.2</v>
      </c>
      <c r="N74" s="286">
        <f t="shared" si="21"/>
        <v>4172</v>
      </c>
      <c r="O74" s="283">
        <f>SUM(C74:N74)</f>
        <v>316036.84000000003</v>
      </c>
      <c r="P74" s="219"/>
      <c r="Q74" s="213"/>
    </row>
    <row r="75" spans="1:17" s="227" customFormat="1" ht="4.5" customHeight="1">
      <c r="A75" s="226"/>
      <c r="B75" s="226"/>
      <c r="C75" s="104"/>
      <c r="D75" s="104"/>
      <c r="E75" s="104"/>
      <c r="F75" s="104"/>
      <c r="G75" s="104"/>
      <c r="H75" s="104"/>
      <c r="I75" s="104"/>
      <c r="J75" s="104"/>
      <c r="K75" s="104"/>
      <c r="L75" s="104"/>
      <c r="M75" s="104"/>
      <c r="N75" s="104"/>
      <c r="O75" s="105"/>
      <c r="P75" s="226"/>
      <c r="Q75" s="231"/>
    </row>
    <row r="76" spans="1:17" s="210" customFormat="1" ht="12">
      <c r="A76" s="206" t="s">
        <v>20</v>
      </c>
      <c r="B76" s="207" t="s">
        <v>21</v>
      </c>
      <c r="C76" s="274">
        <v>571200</v>
      </c>
      <c r="D76" s="274">
        <v>630000</v>
      </c>
      <c r="E76" s="274">
        <v>621600</v>
      </c>
      <c r="F76" s="274">
        <v>732900</v>
      </c>
      <c r="G76" s="274">
        <v>814800</v>
      </c>
      <c r="H76" s="274">
        <v>890400</v>
      </c>
      <c r="I76" s="274">
        <v>1056300</v>
      </c>
      <c r="J76" s="274">
        <v>911400</v>
      </c>
      <c r="K76" s="274">
        <v>1016400</v>
      </c>
      <c r="L76" s="274">
        <v>919800</v>
      </c>
      <c r="M76" s="274">
        <v>1016400</v>
      </c>
      <c r="N76" s="274">
        <v>716100</v>
      </c>
      <c r="O76" s="277">
        <f>SUM(C76:N76)</f>
        <v>9897300</v>
      </c>
      <c r="P76" s="209"/>
      <c r="Q76" s="209"/>
    </row>
    <row r="77" spans="1:17" s="210" customFormat="1" ht="12">
      <c r="A77" s="200" t="s">
        <v>176</v>
      </c>
      <c r="B77" s="207" t="s">
        <v>22</v>
      </c>
      <c r="C77" s="274">
        <v>29</v>
      </c>
      <c r="D77" s="274">
        <v>30</v>
      </c>
      <c r="E77" s="274">
        <v>30</v>
      </c>
      <c r="F77" s="274">
        <v>31</v>
      </c>
      <c r="G77" s="274">
        <v>29</v>
      </c>
      <c r="H77" s="274">
        <v>29</v>
      </c>
      <c r="I77" s="274">
        <v>35</v>
      </c>
      <c r="J77" s="274">
        <v>31</v>
      </c>
      <c r="K77" s="274">
        <v>30</v>
      </c>
      <c r="L77" s="274">
        <v>29</v>
      </c>
      <c r="M77" s="274">
        <v>33</v>
      </c>
      <c r="N77" s="274">
        <v>28</v>
      </c>
      <c r="O77" s="277">
        <f>SUM(C77:N77)</f>
        <v>364</v>
      </c>
      <c r="P77" s="209"/>
      <c r="Q77" s="209"/>
    </row>
    <row r="78" spans="1:17" s="210" customFormat="1" ht="12">
      <c r="A78" s="211"/>
      <c r="B78" s="207" t="s">
        <v>23</v>
      </c>
      <c r="C78" s="274">
        <f t="shared" ref="C78:J78" si="22">(C76/C77)</f>
        <v>19696.551724137931</v>
      </c>
      <c r="D78" s="274">
        <f t="shared" si="22"/>
        <v>21000</v>
      </c>
      <c r="E78" s="274">
        <f t="shared" si="22"/>
        <v>20720</v>
      </c>
      <c r="F78" s="274">
        <f t="shared" si="22"/>
        <v>23641.935483870966</v>
      </c>
      <c r="G78" s="274">
        <f t="shared" si="22"/>
        <v>28096.551724137931</v>
      </c>
      <c r="H78" s="274">
        <f t="shared" si="22"/>
        <v>30703.448275862069</v>
      </c>
      <c r="I78" s="274">
        <f t="shared" si="22"/>
        <v>30180</v>
      </c>
      <c r="J78" s="274">
        <f t="shared" si="22"/>
        <v>29400</v>
      </c>
      <c r="K78" s="274">
        <f>(K76/K77)</f>
        <v>33880</v>
      </c>
      <c r="L78" s="274">
        <f>(L76/L77)</f>
        <v>31717.241379310344</v>
      </c>
      <c r="M78" s="274">
        <f>(M76/M77)</f>
        <v>30800</v>
      </c>
      <c r="N78" s="274">
        <f>(N76/N77)</f>
        <v>25575</v>
      </c>
      <c r="O78" s="277">
        <f>(O76/O77)</f>
        <v>27190.384615384617</v>
      </c>
      <c r="P78" s="209"/>
      <c r="Q78" s="209"/>
    </row>
    <row r="79" spans="1:17" s="214" customFormat="1" ht="12">
      <c r="A79" s="206" t="s">
        <v>13</v>
      </c>
      <c r="B79" s="212" t="s">
        <v>15</v>
      </c>
      <c r="C79" s="276">
        <v>47693</v>
      </c>
      <c r="D79" s="276">
        <v>52555</v>
      </c>
      <c r="E79" s="276">
        <v>50178</v>
      </c>
      <c r="F79" s="276">
        <v>61585</v>
      </c>
      <c r="G79" s="276">
        <v>60368</v>
      </c>
      <c r="H79" s="276">
        <v>58715.25</v>
      </c>
      <c r="I79" s="276">
        <v>73828</v>
      </c>
      <c r="J79" s="276">
        <v>66606</v>
      </c>
      <c r="K79" s="276">
        <v>70055</v>
      </c>
      <c r="L79" s="276">
        <v>67251</v>
      </c>
      <c r="M79" s="276">
        <v>68179.039999999994</v>
      </c>
      <c r="N79" s="276">
        <v>51940</v>
      </c>
      <c r="O79" s="278">
        <f>SUM(C79:N79)</f>
        <v>728953.29</v>
      </c>
      <c r="P79" s="213"/>
      <c r="Q79" s="213"/>
    </row>
    <row r="80" spans="1:17" s="218" customFormat="1" ht="12">
      <c r="A80" s="215"/>
      <c r="B80" s="216" t="s">
        <v>16</v>
      </c>
      <c r="C80" s="287">
        <f t="shared" ref="C80:J80" si="23">(C79/C76)</f>
        <v>8.3496148459383759E-2</v>
      </c>
      <c r="D80" s="287">
        <f t="shared" si="23"/>
        <v>8.3420634920634923E-2</v>
      </c>
      <c r="E80" s="287">
        <f t="shared" si="23"/>
        <v>8.0723938223938224E-2</v>
      </c>
      <c r="F80" s="287">
        <f t="shared" si="23"/>
        <v>8.4029199072179012E-2</v>
      </c>
      <c r="G80" s="287">
        <f t="shared" si="23"/>
        <v>7.4089347079037804E-2</v>
      </c>
      <c r="H80" s="287">
        <f t="shared" si="23"/>
        <v>6.5942553908355794E-2</v>
      </c>
      <c r="I80" s="287">
        <f t="shared" si="23"/>
        <v>6.9893022815488023E-2</v>
      </c>
      <c r="J80" s="287">
        <f t="shared" si="23"/>
        <v>7.308097432521396E-2</v>
      </c>
      <c r="K80" s="287">
        <f>(K79/K76)</f>
        <v>6.892463597009052E-2</v>
      </c>
      <c r="L80" s="287">
        <f>(L79/L76)</f>
        <v>7.3114807566862366E-2</v>
      </c>
      <c r="M80" s="287">
        <f>(M79/M76)</f>
        <v>6.7078945297127116E-2</v>
      </c>
      <c r="N80" s="287">
        <f>(N79/N76)</f>
        <v>7.2531769305962848E-2</v>
      </c>
      <c r="O80" s="289">
        <f>(O79/O76)</f>
        <v>7.3651732290624716E-2</v>
      </c>
      <c r="P80" s="217"/>
      <c r="Q80" s="217"/>
    </row>
    <row r="81" spans="1:17" s="210" customFormat="1" ht="12">
      <c r="A81" s="200" t="s">
        <v>175</v>
      </c>
      <c r="B81" s="207" t="s">
        <v>24</v>
      </c>
      <c r="C81" s="288">
        <v>1245</v>
      </c>
      <c r="D81" s="288">
        <v>1393</v>
      </c>
      <c r="E81" s="288">
        <v>1231</v>
      </c>
      <c r="F81" s="288">
        <v>1575</v>
      </c>
      <c r="G81" s="288">
        <v>1764</v>
      </c>
      <c r="H81" s="288">
        <v>1827</v>
      </c>
      <c r="I81" s="288">
        <v>1827</v>
      </c>
      <c r="J81" s="288">
        <v>1785</v>
      </c>
      <c r="K81" s="288">
        <v>1848</v>
      </c>
      <c r="L81" s="288">
        <v>1848</v>
      </c>
      <c r="M81" s="288">
        <v>1827</v>
      </c>
      <c r="N81" s="288">
        <v>1688</v>
      </c>
      <c r="O81" s="354">
        <f>SUM(C81:N81)/12</f>
        <v>1654.8333333333333</v>
      </c>
      <c r="P81" s="209"/>
      <c r="Q81" s="209"/>
    </row>
    <row r="82" spans="1:17" s="214" customFormat="1" ht="12">
      <c r="A82" s="214" t="s">
        <v>175</v>
      </c>
      <c r="B82" s="212" t="s">
        <v>173</v>
      </c>
      <c r="C82" s="276">
        <v>11636</v>
      </c>
      <c r="D82" s="276">
        <v>13345</v>
      </c>
      <c r="E82" s="276">
        <v>11793</v>
      </c>
      <c r="F82" s="276">
        <v>15089</v>
      </c>
      <c r="G82" s="276">
        <v>11729</v>
      </c>
      <c r="H82" s="276">
        <v>11290.86</v>
      </c>
      <c r="I82" s="276">
        <v>11291</v>
      </c>
      <c r="J82" s="276">
        <v>11031</v>
      </c>
      <c r="K82" s="276">
        <v>11421</v>
      </c>
      <c r="L82" s="276">
        <v>11421</v>
      </c>
      <c r="M82" s="276">
        <v>11290.86</v>
      </c>
      <c r="N82" s="276">
        <v>10432</v>
      </c>
      <c r="O82" s="283">
        <f>SUM(C82:N82)</f>
        <v>141769.72</v>
      </c>
      <c r="P82" s="213"/>
      <c r="Q82" s="213"/>
    </row>
    <row r="83" spans="1:17" s="210" customFormat="1" ht="12">
      <c r="A83" s="220"/>
      <c r="B83" s="207" t="s">
        <v>174</v>
      </c>
      <c r="C83" s="281">
        <f t="shared" ref="C83:J83" si="24">SUM(3412*C76)/1000</f>
        <v>1948934.4</v>
      </c>
      <c r="D83" s="281">
        <f t="shared" si="24"/>
        <v>2149560</v>
      </c>
      <c r="E83" s="281">
        <f t="shared" si="24"/>
        <v>2120899.2000000002</v>
      </c>
      <c r="F83" s="281">
        <f t="shared" si="24"/>
        <v>2500654.7999999998</v>
      </c>
      <c r="G83" s="281">
        <f t="shared" si="24"/>
        <v>2780097.6</v>
      </c>
      <c r="H83" s="281">
        <f t="shared" si="24"/>
        <v>3038044.8</v>
      </c>
      <c r="I83" s="281">
        <f t="shared" si="24"/>
        <v>3604095.6</v>
      </c>
      <c r="J83" s="281">
        <f t="shared" si="24"/>
        <v>3109696.8</v>
      </c>
      <c r="K83" s="281">
        <f>SUM(3412*K76)/1000</f>
        <v>3467956.8</v>
      </c>
      <c r="L83" s="281">
        <f>SUM(3412*L76)/1000</f>
        <v>3138357.6</v>
      </c>
      <c r="M83" s="281">
        <f>SUM(3412*M76)/1000</f>
        <v>3467956.8</v>
      </c>
      <c r="N83" s="281">
        <f>SUM(3412*N76)/1000</f>
        <v>2443333.2000000002</v>
      </c>
      <c r="O83" s="282">
        <f>SUM(3412*O76)/1000</f>
        <v>33769587.600000001</v>
      </c>
      <c r="P83" s="209"/>
      <c r="Q83" s="221"/>
    </row>
    <row r="84" spans="1:17" s="210" customFormat="1" ht="12">
      <c r="A84" s="220"/>
      <c r="B84" s="207"/>
      <c r="C84" s="281"/>
      <c r="D84" s="281"/>
      <c r="E84" s="281"/>
      <c r="F84" s="281"/>
      <c r="G84" s="281"/>
      <c r="H84" s="281"/>
      <c r="I84" s="281"/>
      <c r="J84" s="281"/>
      <c r="K84" s="281"/>
      <c r="L84" s="281"/>
      <c r="M84" s="281"/>
      <c r="N84" s="281"/>
      <c r="O84" s="282"/>
      <c r="P84" s="209"/>
      <c r="Q84" s="221"/>
    </row>
    <row r="85" spans="1:17" s="210" customFormat="1" ht="12">
      <c r="A85" s="206" t="s">
        <v>20</v>
      </c>
      <c r="B85" s="206" t="s">
        <v>21</v>
      </c>
      <c r="C85" s="281">
        <v>240800</v>
      </c>
      <c r="D85" s="281">
        <v>383600</v>
      </c>
      <c r="E85" s="281">
        <v>357000</v>
      </c>
      <c r="F85" s="281">
        <v>242200</v>
      </c>
      <c r="G85" s="281">
        <v>148400</v>
      </c>
      <c r="H85" s="281">
        <v>28000</v>
      </c>
      <c r="I85" s="281">
        <v>23800</v>
      </c>
      <c r="J85" s="281">
        <v>18200</v>
      </c>
      <c r="K85" s="281">
        <v>9800</v>
      </c>
      <c r="L85" s="281">
        <v>11200</v>
      </c>
      <c r="M85" s="281">
        <v>9800</v>
      </c>
      <c r="N85" s="281">
        <v>84000</v>
      </c>
      <c r="O85" s="282">
        <f>SUM(C85:N85)</f>
        <v>1556800</v>
      </c>
      <c r="P85" s="209"/>
      <c r="Q85" s="221"/>
    </row>
    <row r="86" spans="1:17" s="210" customFormat="1" ht="12">
      <c r="A86" s="206" t="s">
        <v>392</v>
      </c>
      <c r="B86" s="206" t="s">
        <v>22</v>
      </c>
      <c r="C86" s="281">
        <v>29</v>
      </c>
      <c r="D86" s="281">
        <v>30</v>
      </c>
      <c r="E86" s="281">
        <v>31</v>
      </c>
      <c r="F86" s="281">
        <v>30</v>
      </c>
      <c r="G86" s="281">
        <v>29</v>
      </c>
      <c r="H86" s="281">
        <v>29</v>
      </c>
      <c r="I86" s="281">
        <v>35</v>
      </c>
      <c r="J86" s="281">
        <v>31</v>
      </c>
      <c r="K86" s="281">
        <v>30</v>
      </c>
      <c r="L86" s="281">
        <v>29</v>
      </c>
      <c r="M86" s="281">
        <v>33</v>
      </c>
      <c r="N86" s="281">
        <v>28</v>
      </c>
      <c r="O86" s="282">
        <f>SUM(C86:N86)</f>
        <v>364</v>
      </c>
      <c r="P86" s="209"/>
      <c r="Q86" s="221"/>
    </row>
    <row r="87" spans="1:17" s="210" customFormat="1" ht="12">
      <c r="A87" s="206"/>
      <c r="B87" s="206" t="s">
        <v>23</v>
      </c>
      <c r="C87" s="281">
        <f>C85/C86</f>
        <v>8303.4482758620688</v>
      </c>
      <c r="D87" s="281">
        <f t="shared" ref="D87:J87" si="25">D85/D86</f>
        <v>12786.666666666666</v>
      </c>
      <c r="E87" s="281">
        <f t="shared" si="25"/>
        <v>11516.129032258064</v>
      </c>
      <c r="F87" s="281">
        <f t="shared" si="25"/>
        <v>8073.333333333333</v>
      </c>
      <c r="G87" s="281">
        <f t="shared" si="25"/>
        <v>5117.2413793103451</v>
      </c>
      <c r="H87" s="281">
        <f t="shared" si="25"/>
        <v>965.51724137931035</v>
      </c>
      <c r="I87" s="281">
        <f t="shared" si="25"/>
        <v>680</v>
      </c>
      <c r="J87" s="281">
        <f t="shared" si="25"/>
        <v>587.09677419354841</v>
      </c>
      <c r="K87" s="281">
        <f>K85/K86</f>
        <v>326.66666666666669</v>
      </c>
      <c r="L87" s="281">
        <f>L85/L86</f>
        <v>386.20689655172413</v>
      </c>
      <c r="M87" s="281">
        <f>M85/M86</f>
        <v>296.969696969697</v>
      </c>
      <c r="N87" s="281">
        <f>N85/N86</f>
        <v>3000</v>
      </c>
      <c r="O87" s="281">
        <f>O85/O86</f>
        <v>4276.9230769230771</v>
      </c>
      <c r="P87" s="209"/>
      <c r="Q87" s="221"/>
    </row>
    <row r="88" spans="1:17" s="210" customFormat="1" ht="12">
      <c r="A88" s="206" t="s">
        <v>13</v>
      </c>
      <c r="B88" s="206" t="s">
        <v>15</v>
      </c>
      <c r="C88" s="276">
        <v>27028</v>
      </c>
      <c r="D88" s="276">
        <v>43209</v>
      </c>
      <c r="E88" s="276">
        <v>34332</v>
      </c>
      <c r="F88" s="276">
        <v>28186</v>
      </c>
      <c r="G88" s="276">
        <v>16054</v>
      </c>
      <c r="H88" s="276">
        <v>3940.39</v>
      </c>
      <c r="I88" s="276">
        <v>3213</v>
      </c>
      <c r="J88" s="276">
        <v>2660</v>
      </c>
      <c r="K88" s="276">
        <v>1447</v>
      </c>
      <c r="L88" s="276">
        <v>1701</v>
      </c>
      <c r="M88" s="276">
        <v>1332.91</v>
      </c>
      <c r="N88" s="276">
        <v>11919</v>
      </c>
      <c r="O88" s="282">
        <f>SUM(C88:N88)</f>
        <v>175022.30000000002</v>
      </c>
      <c r="P88" s="209"/>
      <c r="Q88" s="221"/>
    </row>
    <row r="89" spans="1:17" s="210" customFormat="1" ht="12">
      <c r="A89" s="206"/>
      <c r="B89" s="206" t="s">
        <v>16</v>
      </c>
      <c r="C89" s="368">
        <f>C88/C85</f>
        <v>0.11224252491694352</v>
      </c>
      <c r="D89" s="368">
        <f>D88/D85</f>
        <v>0.11264077163712201</v>
      </c>
      <c r="E89" s="368">
        <f t="shared" ref="E89:J89" si="26">E88/E85</f>
        <v>9.6168067226890752E-2</v>
      </c>
      <c r="F89" s="368">
        <f t="shared" si="26"/>
        <v>0.11637489677952105</v>
      </c>
      <c r="G89" s="368">
        <f t="shared" si="26"/>
        <v>0.10818059299191375</v>
      </c>
      <c r="H89" s="368">
        <f t="shared" si="26"/>
        <v>0.14072821428571428</v>
      </c>
      <c r="I89" s="368">
        <f t="shared" si="26"/>
        <v>0.13500000000000001</v>
      </c>
      <c r="J89" s="368">
        <f t="shared" si="26"/>
        <v>0.14615384615384616</v>
      </c>
      <c r="K89" s="368">
        <f>K88/K85</f>
        <v>0.14765306122448979</v>
      </c>
      <c r="L89" s="368">
        <f>L88/L85</f>
        <v>0.15187500000000001</v>
      </c>
      <c r="M89" s="368">
        <f>M88/M85</f>
        <v>0.13601122448979594</v>
      </c>
      <c r="N89" s="368">
        <f>N88/N85</f>
        <v>0.14189285714285715</v>
      </c>
      <c r="O89" s="368">
        <f>O88/O85</f>
        <v>0.11242439619732786</v>
      </c>
      <c r="P89" s="209"/>
      <c r="Q89" s="221"/>
    </row>
    <row r="90" spans="1:17" s="210" customFormat="1" ht="12">
      <c r="A90" s="206" t="s">
        <v>289</v>
      </c>
      <c r="B90" s="206" t="s">
        <v>24</v>
      </c>
      <c r="C90" s="281">
        <v>1059</v>
      </c>
      <c r="D90" s="281">
        <v>1713</v>
      </c>
      <c r="E90" s="281">
        <v>1094</v>
      </c>
      <c r="F90" s="281">
        <v>1109</v>
      </c>
      <c r="G90" s="281">
        <v>857</v>
      </c>
      <c r="H90" s="281">
        <v>290</v>
      </c>
      <c r="I90" s="281">
        <v>204</v>
      </c>
      <c r="J90" s="281">
        <v>176</v>
      </c>
      <c r="K90" s="288">
        <v>98</v>
      </c>
      <c r="L90" s="281">
        <v>116</v>
      </c>
      <c r="M90" s="281">
        <v>89</v>
      </c>
      <c r="N90" s="281">
        <v>857</v>
      </c>
      <c r="O90" s="282">
        <f>SUM(C90:N90)</f>
        <v>7662</v>
      </c>
      <c r="P90" s="209"/>
      <c r="Q90" s="221"/>
    </row>
    <row r="91" spans="1:17" s="210" customFormat="1" ht="12">
      <c r="A91" s="206" t="s">
        <v>289</v>
      </c>
      <c r="B91" s="206" t="s">
        <v>173</v>
      </c>
      <c r="C91" s="276">
        <v>9897</v>
      </c>
      <c r="D91" s="276">
        <v>16411</v>
      </c>
      <c r="E91" s="276">
        <v>10481</v>
      </c>
      <c r="F91" s="276">
        <v>10624</v>
      </c>
      <c r="G91" s="276">
        <v>5698</v>
      </c>
      <c r="H91" s="276">
        <v>1792.2</v>
      </c>
      <c r="I91" s="276">
        <v>1261</v>
      </c>
      <c r="J91" s="276">
        <v>1088</v>
      </c>
      <c r="K91" s="276">
        <v>606</v>
      </c>
      <c r="L91" s="276">
        <v>717</v>
      </c>
      <c r="M91" s="276">
        <v>550.02</v>
      </c>
      <c r="N91" s="276">
        <v>5296</v>
      </c>
      <c r="O91" s="282">
        <f>SUM(C91:N91)</f>
        <v>64421.219999999994</v>
      </c>
      <c r="P91" s="209"/>
      <c r="Q91" s="221"/>
    </row>
    <row r="92" spans="1:17" s="210" customFormat="1" ht="12">
      <c r="A92" s="206"/>
      <c r="B92" s="206" t="s">
        <v>174</v>
      </c>
      <c r="C92" s="281">
        <f>SUM(3412*C85)/1000</f>
        <v>821609.6</v>
      </c>
      <c r="D92" s="281">
        <f t="shared" ref="D92:J92" si="27">SUM(3412*D85)/1000</f>
        <v>1308843.2</v>
      </c>
      <c r="E92" s="281">
        <f t="shared" si="27"/>
        <v>1218084</v>
      </c>
      <c r="F92" s="281">
        <f t="shared" si="27"/>
        <v>826386.4</v>
      </c>
      <c r="G92" s="281">
        <f t="shared" si="27"/>
        <v>506340.8</v>
      </c>
      <c r="H92" s="281">
        <f t="shared" si="27"/>
        <v>95536</v>
      </c>
      <c r="I92" s="281">
        <f t="shared" si="27"/>
        <v>81205.600000000006</v>
      </c>
      <c r="J92" s="281">
        <f t="shared" si="27"/>
        <v>62098.400000000001</v>
      </c>
      <c r="K92" s="281">
        <f>SUM(3412*K85)/1000</f>
        <v>33437.599999999999</v>
      </c>
      <c r="L92" s="281">
        <f>SUM(3412*L85)/1000</f>
        <v>38214.400000000001</v>
      </c>
      <c r="M92" s="281">
        <f>SUM(3412*M85)/1000</f>
        <v>33437.599999999999</v>
      </c>
      <c r="N92" s="281">
        <f>SUM(3412*N85)/1000</f>
        <v>286608</v>
      </c>
      <c r="O92" s="281">
        <f>SUM(3412*O85)/1000</f>
        <v>5311801.5999999996</v>
      </c>
      <c r="P92" s="209"/>
      <c r="Q92" s="221"/>
    </row>
    <row r="93" spans="1:17" s="210" customFormat="1" ht="12">
      <c r="A93" s="206"/>
      <c r="B93" s="206"/>
      <c r="C93" s="281"/>
      <c r="D93" s="281"/>
      <c r="E93" s="281"/>
      <c r="F93" s="281"/>
      <c r="G93" s="281"/>
      <c r="H93" s="281"/>
      <c r="I93" s="281"/>
      <c r="J93" s="281"/>
      <c r="K93" s="281"/>
      <c r="L93" s="281"/>
      <c r="M93" s="281"/>
      <c r="N93" s="281"/>
      <c r="O93" s="282"/>
      <c r="P93" s="209"/>
      <c r="Q93" s="221"/>
    </row>
    <row r="94" spans="1:17" s="210" customFormat="1" ht="12">
      <c r="A94" s="206" t="s">
        <v>393</v>
      </c>
      <c r="B94" s="206" t="s">
        <v>21</v>
      </c>
      <c r="C94" s="281">
        <f>C76+C85</f>
        <v>812000</v>
      </c>
      <c r="D94" s="281">
        <f t="shared" ref="D94:J94" si="28">D76+D85</f>
        <v>1013600</v>
      </c>
      <c r="E94" s="281">
        <f t="shared" si="28"/>
        <v>978600</v>
      </c>
      <c r="F94" s="281">
        <f t="shared" si="28"/>
        <v>975100</v>
      </c>
      <c r="G94" s="281">
        <f t="shared" si="28"/>
        <v>963200</v>
      </c>
      <c r="H94" s="281">
        <f t="shared" si="28"/>
        <v>918400</v>
      </c>
      <c r="I94" s="281">
        <f t="shared" si="28"/>
        <v>1080100</v>
      </c>
      <c r="J94" s="281">
        <f t="shared" si="28"/>
        <v>929600</v>
      </c>
      <c r="K94" s="281">
        <f>K76+K85</f>
        <v>1026200</v>
      </c>
      <c r="L94" s="281">
        <f>L76+L85</f>
        <v>931000</v>
      </c>
      <c r="M94" s="281">
        <f>M76+M85</f>
        <v>1026200</v>
      </c>
      <c r="N94" s="281">
        <f>N76+N85</f>
        <v>800100</v>
      </c>
      <c r="O94" s="281">
        <f>O76+O85</f>
        <v>11454100</v>
      </c>
      <c r="P94" s="209"/>
      <c r="Q94" s="221"/>
    </row>
    <row r="95" spans="1:17" s="210" customFormat="1" ht="12">
      <c r="A95" s="206"/>
      <c r="B95" s="206" t="s">
        <v>16</v>
      </c>
      <c r="C95" s="368">
        <f t="shared" ref="C95:N95" si="29">C96/C94</f>
        <v>9.2020935960591133E-2</v>
      </c>
      <c r="D95" s="368">
        <f t="shared" si="29"/>
        <v>9.4479084451460138E-2</v>
      </c>
      <c r="E95" s="368">
        <f t="shared" si="29"/>
        <v>8.6358062538320055E-2</v>
      </c>
      <c r="F95" s="368">
        <f t="shared" si="29"/>
        <v>9.2063378115065125E-2</v>
      </c>
      <c r="G95" s="368">
        <f t="shared" si="29"/>
        <v>7.9341777408637876E-2</v>
      </c>
      <c r="H95" s="368">
        <f t="shared" si="29"/>
        <v>6.8222604529616718E-2</v>
      </c>
      <c r="I95" s="368">
        <f t="shared" si="29"/>
        <v>7.1327654846773447E-2</v>
      </c>
      <c r="J95" s="368">
        <f t="shared" si="29"/>
        <v>7.451161790017212E-2</v>
      </c>
      <c r="K95" s="368">
        <f t="shared" si="29"/>
        <v>6.9676476320405384E-2</v>
      </c>
      <c r="L95" s="368">
        <f t="shared" si="29"/>
        <v>7.4062298603651988E-2</v>
      </c>
      <c r="M95" s="368">
        <f t="shared" si="29"/>
        <v>6.773723445722081E-2</v>
      </c>
      <c r="N95" s="368">
        <f t="shared" si="29"/>
        <v>7.9813773278340203E-2</v>
      </c>
      <c r="O95" s="368">
        <f>O97/O94</f>
        <v>7.8921573061174602E-2</v>
      </c>
      <c r="P95" s="209"/>
      <c r="Q95" s="221"/>
    </row>
    <row r="96" spans="1:17" s="120" customFormat="1" ht="12">
      <c r="A96" s="121" t="s">
        <v>420</v>
      </c>
      <c r="B96" s="117" t="s">
        <v>419</v>
      </c>
      <c r="C96" s="276">
        <f>C79+C88</f>
        <v>74721</v>
      </c>
      <c r="D96" s="276">
        <f t="shared" ref="D96:N96" si="30">D79+D88</f>
        <v>95764</v>
      </c>
      <c r="E96" s="276">
        <f t="shared" si="30"/>
        <v>84510</v>
      </c>
      <c r="F96" s="276">
        <f t="shared" si="30"/>
        <v>89771</v>
      </c>
      <c r="G96" s="276">
        <f t="shared" si="30"/>
        <v>76422</v>
      </c>
      <c r="H96" s="276">
        <f t="shared" si="30"/>
        <v>62655.64</v>
      </c>
      <c r="I96" s="276">
        <f t="shared" si="30"/>
        <v>77041</v>
      </c>
      <c r="J96" s="276">
        <f t="shared" si="30"/>
        <v>69266</v>
      </c>
      <c r="K96" s="276">
        <f t="shared" si="30"/>
        <v>71502</v>
      </c>
      <c r="L96" s="276">
        <f t="shared" si="30"/>
        <v>68952</v>
      </c>
      <c r="M96" s="276">
        <f t="shared" si="30"/>
        <v>69511.95</v>
      </c>
      <c r="N96" s="276">
        <f t="shared" si="30"/>
        <v>63859</v>
      </c>
      <c r="O96" s="278">
        <f>SUM(C96:N96)</f>
        <v>903975.59</v>
      </c>
      <c r="P96" s="119"/>
      <c r="Q96" s="118"/>
    </row>
    <row r="97" spans="1:17" s="276" customFormat="1" ht="12">
      <c r="B97" s="206" t="s">
        <v>15</v>
      </c>
      <c r="C97" s="281"/>
      <c r="D97" s="281"/>
      <c r="E97" s="281"/>
      <c r="F97" s="281"/>
      <c r="G97" s="281"/>
      <c r="H97" s="281"/>
      <c r="I97" s="281"/>
      <c r="J97" s="281"/>
      <c r="K97" s="281"/>
      <c r="L97" s="281"/>
      <c r="M97" s="281"/>
      <c r="N97" s="281"/>
      <c r="O97" s="276">
        <f>O79+O88</f>
        <v>903975.59000000008</v>
      </c>
    </row>
    <row r="98" spans="1:17" s="210" customFormat="1" ht="6.75" customHeight="1">
      <c r="A98" s="220"/>
      <c r="B98" s="207"/>
      <c r="C98" s="113"/>
      <c r="D98" s="113"/>
      <c r="E98" s="113"/>
      <c r="F98" s="113"/>
      <c r="G98" s="113"/>
      <c r="H98" s="113"/>
      <c r="I98" s="113"/>
      <c r="J98" s="113"/>
      <c r="K98" s="113"/>
      <c r="L98" s="113"/>
      <c r="M98" s="113"/>
      <c r="N98" s="113"/>
      <c r="O98" s="282"/>
      <c r="P98" s="209"/>
      <c r="Q98" s="221"/>
    </row>
    <row r="99" spans="1:17" s="227" customFormat="1" ht="14.25" customHeight="1">
      <c r="A99" s="222" t="s">
        <v>293</v>
      </c>
      <c r="B99" s="228"/>
      <c r="C99" s="290">
        <f>SUM(C73,C83,C92)/1000</f>
        <v>2770.5439999999999</v>
      </c>
      <c r="D99" s="290">
        <f>SUM(D73,D83,D92)/1000</f>
        <v>3458.4032000000002</v>
      </c>
      <c r="E99" s="290">
        <f>SUM(E73,E83,E92)/1000</f>
        <v>3338.9832000000001</v>
      </c>
      <c r="F99" s="290">
        <f>SUM(F73,F83,F92)/1000</f>
        <v>3446.0411999999997</v>
      </c>
      <c r="G99" s="290">
        <f>SUM(G73,G83,G92)/1000</f>
        <v>8012.4383999999991</v>
      </c>
      <c r="H99" s="290">
        <f t="shared" ref="H99:N99" si="31">SUM(H73,H83,H92)/1000</f>
        <v>13116.580800000002</v>
      </c>
      <c r="I99" s="290">
        <f t="shared" si="31"/>
        <v>16423.301199999998</v>
      </c>
      <c r="J99" s="290">
        <f t="shared" si="31"/>
        <v>15462.7952</v>
      </c>
      <c r="K99" s="290">
        <f t="shared" si="31"/>
        <v>15435.394400000001</v>
      </c>
      <c r="L99" s="290">
        <f t="shared" si="31"/>
        <v>9300.5720000000001</v>
      </c>
      <c r="M99" s="290">
        <f t="shared" si="31"/>
        <v>8909.394400000001</v>
      </c>
      <c r="N99" s="290">
        <f t="shared" si="31"/>
        <v>3997.9412000000002</v>
      </c>
      <c r="O99" s="290">
        <f>SUM(O73,O83,O92)/1000</f>
        <v>103672.38919999999</v>
      </c>
      <c r="P99" s="229"/>
      <c r="Q99" s="226"/>
    </row>
    <row r="100" spans="1:17" s="210" customFormat="1" ht="12">
      <c r="A100" s="222"/>
      <c r="B100" s="207"/>
      <c r="C100" s="104"/>
      <c r="D100" s="104"/>
      <c r="E100" s="114" t="s">
        <v>13</v>
      </c>
      <c r="F100" s="104"/>
      <c r="G100" s="104"/>
      <c r="H100" s="104"/>
      <c r="I100" s="104"/>
      <c r="J100" s="104"/>
      <c r="K100" s="104"/>
      <c r="L100" s="104"/>
      <c r="M100" s="104"/>
      <c r="N100" s="104"/>
      <c r="P100" s="223"/>
      <c r="Q100" s="209"/>
    </row>
    <row r="101" spans="1:17" s="227" customFormat="1" ht="13.5" customHeight="1">
      <c r="A101" s="206" t="s">
        <v>25</v>
      </c>
      <c r="B101" s="226"/>
      <c r="C101" s="274">
        <v>0</v>
      </c>
      <c r="D101" s="274">
        <v>0</v>
      </c>
      <c r="E101" s="274">
        <v>0</v>
      </c>
      <c r="F101" s="274">
        <v>0</v>
      </c>
      <c r="G101" s="274">
        <v>0</v>
      </c>
      <c r="H101" s="274">
        <v>0</v>
      </c>
      <c r="I101" s="274">
        <v>10296000</v>
      </c>
      <c r="J101" s="274">
        <v>11218000</v>
      </c>
      <c r="K101" s="274">
        <v>9766000</v>
      </c>
      <c r="L101" s="274">
        <v>6132000</v>
      </c>
      <c r="M101" s="274">
        <v>4996000</v>
      </c>
      <c r="N101" s="274">
        <v>1328000</v>
      </c>
      <c r="O101" s="277">
        <f>SUM(C101:N101)</f>
        <v>43736000</v>
      </c>
      <c r="P101" s="226"/>
      <c r="Q101" s="235"/>
    </row>
    <row r="102" spans="1:17" ht="12">
      <c r="A102" s="206" t="s">
        <v>26</v>
      </c>
      <c r="B102" s="206" t="s">
        <v>13</v>
      </c>
      <c r="C102" s="292">
        <v>0</v>
      </c>
      <c r="D102" s="292">
        <v>0</v>
      </c>
      <c r="E102" s="292">
        <v>0</v>
      </c>
      <c r="F102" s="292">
        <v>0</v>
      </c>
      <c r="G102" s="292">
        <f t="shared" ref="G102:N102" si="32">(G101*884)/(G73*1000)</f>
        <v>0</v>
      </c>
      <c r="H102" s="292">
        <f t="shared" si="32"/>
        <v>0</v>
      </c>
      <c r="I102" s="292">
        <f t="shared" si="32"/>
        <v>0.71452849740932645</v>
      </c>
      <c r="J102" s="292">
        <f t="shared" si="32"/>
        <v>0.80682710926694334</v>
      </c>
      <c r="K102" s="292">
        <f t="shared" si="32"/>
        <v>0.72340740740740739</v>
      </c>
      <c r="L102" s="292">
        <f t="shared" si="32"/>
        <v>0.88515480078380149</v>
      </c>
      <c r="M102" s="292">
        <f t="shared" si="32"/>
        <v>0.81665384615384617</v>
      </c>
      <c r="N102" s="292">
        <f t="shared" si="32"/>
        <v>0.92582965299684539</v>
      </c>
      <c r="O102" s="293">
        <f>SUM(I102:N102)/6</f>
        <v>0.81206688566969509</v>
      </c>
      <c r="P102" s="208"/>
      <c r="Q102" s="208"/>
    </row>
    <row r="103" spans="1:17" ht="12">
      <c r="A103" s="206" t="s">
        <v>27</v>
      </c>
      <c r="B103" s="206"/>
      <c r="C103" s="274">
        <v>72</v>
      </c>
      <c r="D103" s="274">
        <v>2</v>
      </c>
      <c r="E103" s="274">
        <v>21</v>
      </c>
      <c r="F103" s="274">
        <v>196</v>
      </c>
      <c r="G103" s="274">
        <v>392</v>
      </c>
      <c r="H103" s="274">
        <v>797</v>
      </c>
      <c r="I103" s="274">
        <v>1151</v>
      </c>
      <c r="J103" s="274">
        <v>1281</v>
      </c>
      <c r="K103" s="274">
        <v>1074</v>
      </c>
      <c r="L103" s="274">
        <v>530</v>
      </c>
      <c r="M103" s="274">
        <v>444</v>
      </c>
      <c r="N103" s="274">
        <v>142</v>
      </c>
      <c r="O103" s="277">
        <f>SUM(C103:N103)</f>
        <v>6102</v>
      </c>
      <c r="P103" s="224"/>
      <c r="Q103" s="208"/>
    </row>
    <row r="104" spans="1:17" ht="12">
      <c r="A104" s="206" t="s">
        <v>28</v>
      </c>
      <c r="B104" s="211"/>
      <c r="C104" s="274">
        <v>178</v>
      </c>
      <c r="D104" s="274">
        <v>395</v>
      </c>
      <c r="E104" s="274">
        <v>266</v>
      </c>
      <c r="F104" s="274">
        <v>101</v>
      </c>
      <c r="G104" s="274">
        <v>69</v>
      </c>
      <c r="H104" s="274">
        <v>0</v>
      </c>
      <c r="I104" s="274">
        <v>0</v>
      </c>
      <c r="J104" s="274">
        <v>0</v>
      </c>
      <c r="K104" s="274">
        <v>0</v>
      </c>
      <c r="L104" s="274">
        <v>32</v>
      </c>
      <c r="M104" s="274">
        <v>15</v>
      </c>
      <c r="N104" s="274">
        <v>121</v>
      </c>
      <c r="O104" s="277">
        <f>SUM(C104:N104)</f>
        <v>1177</v>
      </c>
      <c r="P104" s="208"/>
      <c r="Q104" s="208"/>
    </row>
    <row r="105" spans="1:17" ht="12">
      <c r="A105" s="107" t="s">
        <v>416</v>
      </c>
      <c r="B105" s="211"/>
      <c r="C105" s="274">
        <v>120</v>
      </c>
      <c r="D105" s="274">
        <v>237</v>
      </c>
      <c r="E105" s="274">
        <v>222</v>
      </c>
      <c r="F105" s="274">
        <v>0</v>
      </c>
      <c r="G105" s="274">
        <v>18</v>
      </c>
      <c r="H105" s="274">
        <v>0</v>
      </c>
      <c r="I105" s="274">
        <v>0</v>
      </c>
      <c r="J105" s="274">
        <v>0</v>
      </c>
      <c r="K105" s="274">
        <v>0</v>
      </c>
      <c r="L105" s="274">
        <v>0</v>
      </c>
      <c r="M105" s="274">
        <v>0</v>
      </c>
      <c r="N105" s="274">
        <v>104</v>
      </c>
      <c r="O105" s="277">
        <f>SUM(C105:N105)</f>
        <v>701</v>
      </c>
      <c r="P105" s="208"/>
      <c r="Q105" s="208"/>
    </row>
    <row r="106" spans="1:17" ht="12">
      <c r="A106" s="107" t="s">
        <v>417</v>
      </c>
      <c r="B106" s="105"/>
      <c r="C106" s="274">
        <v>374</v>
      </c>
      <c r="D106" s="274">
        <v>287</v>
      </c>
      <c r="E106" s="274">
        <v>175</v>
      </c>
      <c r="F106" s="274">
        <v>147</v>
      </c>
      <c r="G106" s="274">
        <v>70</v>
      </c>
      <c r="H106" s="274">
        <v>0</v>
      </c>
      <c r="I106" s="274">
        <v>0</v>
      </c>
      <c r="J106" s="274">
        <v>0</v>
      </c>
      <c r="K106" s="274">
        <v>0</v>
      </c>
      <c r="L106" s="274">
        <v>0</v>
      </c>
      <c r="M106" s="274">
        <v>0</v>
      </c>
      <c r="N106" s="274">
        <v>155</v>
      </c>
      <c r="O106" s="277">
        <f>SUM(C106:N106)</f>
        <v>1208</v>
      </c>
      <c r="P106" s="208"/>
      <c r="Q106" s="208"/>
    </row>
    <row r="107" spans="1:17" ht="12">
      <c r="A107" s="107" t="s">
        <v>418</v>
      </c>
      <c r="B107" s="105"/>
      <c r="C107" s="274">
        <v>51</v>
      </c>
      <c r="D107" s="274">
        <v>339</v>
      </c>
      <c r="E107" s="274">
        <v>322</v>
      </c>
      <c r="F107" s="274">
        <v>172</v>
      </c>
      <c r="G107" s="274">
        <v>100</v>
      </c>
      <c r="H107" s="274">
        <v>0</v>
      </c>
      <c r="I107" s="274">
        <v>0</v>
      </c>
      <c r="J107" s="274">
        <v>0</v>
      </c>
      <c r="K107" s="274">
        <v>0</v>
      </c>
      <c r="L107" s="274">
        <v>0</v>
      </c>
      <c r="M107" s="274">
        <v>0</v>
      </c>
      <c r="N107" s="274">
        <v>69</v>
      </c>
      <c r="O107" s="277">
        <f>SUM(C107:N107)</f>
        <v>1053</v>
      </c>
      <c r="P107" s="208"/>
    </row>
  </sheetData>
  <phoneticPr fontId="0" type="noConversion"/>
  <printOptions horizontalCentered="1" verticalCentered="1"/>
  <pageMargins left="0.5" right="0.5" top="0.25" bottom="0.25" header="0.5" footer="0.5"/>
  <pageSetup paperSize="17" scale="47" orientation="landscape" verticalDpi="300" r:id="rId1"/>
  <headerFooter alignWithMargins="0"/>
  <colBreaks count="2" manualBreakCount="2">
    <brk id="8" max="1048575" man="1"/>
    <brk id="14" max="1048575" man="1"/>
  </colBreaks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>
    <pageSetUpPr fitToPage="1"/>
  </sheetPr>
  <dimension ref="A1:N27"/>
  <sheetViews>
    <sheetView view="pageBreakPreview" zoomScaleNormal="100" zoomScaleSheetLayoutView="100" workbookViewId="0">
      <selection activeCell="A25" sqref="A25"/>
    </sheetView>
  </sheetViews>
  <sheetFormatPr defaultRowHeight="12.75"/>
  <cols>
    <col min="1" max="1" width="22.28515625" style="70" customWidth="1"/>
    <col min="2" max="8" width="11.7109375" style="79" bestFit="1" customWidth="1"/>
    <col min="9" max="9" width="11.85546875" style="79" bestFit="1" customWidth="1"/>
    <col min="10" max="13" width="11.5703125" style="79" bestFit="1" customWidth="1"/>
    <col min="14" max="14" width="12.7109375" style="79" bestFit="1" customWidth="1"/>
  </cols>
  <sheetData>
    <row r="1" spans="1:14" ht="15">
      <c r="A1" s="151" t="s">
        <v>195</v>
      </c>
      <c r="B1" s="115"/>
      <c r="C1" s="115"/>
      <c r="D1" s="115"/>
      <c r="E1" s="115"/>
      <c r="F1" s="115"/>
      <c r="G1" s="115"/>
      <c r="H1" s="115"/>
      <c r="I1" s="115"/>
      <c r="J1" s="115"/>
      <c r="K1" s="115"/>
      <c r="L1" s="115"/>
      <c r="M1" s="115"/>
      <c r="N1" s="115"/>
    </row>
    <row r="2" spans="1:14" ht="15">
      <c r="A2" s="148" t="s">
        <v>196</v>
      </c>
      <c r="B2" s="24" t="s">
        <v>182</v>
      </c>
      <c r="C2" s="24" t="s">
        <v>183</v>
      </c>
      <c r="D2" s="24" t="s">
        <v>184</v>
      </c>
      <c r="E2" s="24" t="s">
        <v>185</v>
      </c>
      <c r="F2" s="24" t="s">
        <v>186</v>
      </c>
      <c r="G2" s="24" t="s">
        <v>187</v>
      </c>
      <c r="H2" s="24" t="s">
        <v>188</v>
      </c>
      <c r="I2" s="24" t="s">
        <v>189</v>
      </c>
      <c r="J2" s="24" t="s">
        <v>190</v>
      </c>
      <c r="K2" s="24" t="s">
        <v>191</v>
      </c>
      <c r="L2" s="24" t="s">
        <v>192</v>
      </c>
      <c r="M2" s="24" t="s">
        <v>193</v>
      </c>
      <c r="N2" s="24" t="s">
        <v>194</v>
      </c>
    </row>
    <row r="3" spans="1:14">
      <c r="A3" s="17" t="s">
        <v>198</v>
      </c>
      <c r="B3" s="3">
        <v>789600</v>
      </c>
      <c r="C3" s="3">
        <v>1024800</v>
      </c>
      <c r="D3" s="3">
        <v>878400</v>
      </c>
      <c r="E3" s="3">
        <v>976800</v>
      </c>
      <c r="F3" s="3">
        <v>873600</v>
      </c>
      <c r="G3" s="3">
        <v>890400</v>
      </c>
      <c r="H3" s="3">
        <v>931200</v>
      </c>
      <c r="I3" s="3">
        <v>724800</v>
      </c>
      <c r="J3" s="3">
        <v>1027200</v>
      </c>
      <c r="K3" s="3">
        <v>818400</v>
      </c>
      <c r="L3" s="3">
        <v>952800</v>
      </c>
      <c r="M3" s="3">
        <v>811200</v>
      </c>
      <c r="N3" s="3">
        <f t="shared" ref="N3:N12" si="0">SUM(B3:M3)</f>
        <v>10699200</v>
      </c>
    </row>
    <row r="4" spans="1:14">
      <c r="A4" s="16" t="s">
        <v>197</v>
      </c>
      <c r="B4" s="3">
        <v>715200</v>
      </c>
      <c r="C4" s="3">
        <v>861600</v>
      </c>
      <c r="D4" s="3">
        <v>681600</v>
      </c>
      <c r="E4" s="3">
        <v>876000</v>
      </c>
      <c r="F4" s="3">
        <v>768000</v>
      </c>
      <c r="G4" s="3">
        <v>988800</v>
      </c>
      <c r="H4" s="3">
        <v>912000</v>
      </c>
      <c r="I4" s="3">
        <v>914400</v>
      </c>
      <c r="J4" s="3">
        <v>1089600</v>
      </c>
      <c r="K4" s="3">
        <v>888000</v>
      </c>
      <c r="L4" s="3">
        <v>957600</v>
      </c>
      <c r="M4" s="3">
        <v>768000</v>
      </c>
      <c r="N4" s="3">
        <f t="shared" si="0"/>
        <v>10420800</v>
      </c>
    </row>
    <row r="5" spans="1:14">
      <c r="A5" s="17" t="s">
        <v>199</v>
      </c>
      <c r="B5" s="3">
        <v>722400</v>
      </c>
      <c r="C5" s="3">
        <v>741600</v>
      </c>
      <c r="D5" s="3">
        <v>782400</v>
      </c>
      <c r="E5" s="3">
        <v>905013</v>
      </c>
      <c r="F5" s="3">
        <v>935180</v>
      </c>
      <c r="G5" s="3">
        <v>896884</v>
      </c>
      <c r="H5" s="3">
        <v>915796</v>
      </c>
      <c r="I5" s="3">
        <v>870500</v>
      </c>
      <c r="J5" s="3">
        <v>1070400</v>
      </c>
      <c r="K5" s="3">
        <v>825600</v>
      </c>
      <c r="L5" s="3">
        <v>847200</v>
      </c>
      <c r="M5" s="3">
        <v>871200</v>
      </c>
      <c r="N5" s="3">
        <f t="shared" si="0"/>
        <v>10384173</v>
      </c>
    </row>
    <row r="6" spans="1:14">
      <c r="A6" s="17" t="s">
        <v>200</v>
      </c>
      <c r="B6" s="3">
        <v>820800</v>
      </c>
      <c r="C6" s="3">
        <v>763000</v>
      </c>
      <c r="D6" s="3">
        <v>868800</v>
      </c>
      <c r="E6" s="3">
        <v>957600</v>
      </c>
      <c r="F6" s="3">
        <v>686400</v>
      </c>
      <c r="G6" s="3">
        <v>955200</v>
      </c>
      <c r="H6" s="3">
        <v>1018286</v>
      </c>
      <c r="I6" s="3">
        <v>925714</v>
      </c>
      <c r="J6" s="3">
        <v>981600</v>
      </c>
      <c r="K6" s="3">
        <v>871200</v>
      </c>
      <c r="L6" s="3">
        <v>955200</v>
      </c>
      <c r="M6" s="3">
        <v>650400</v>
      </c>
      <c r="N6" s="3">
        <f t="shared" si="0"/>
        <v>10454200</v>
      </c>
    </row>
    <row r="7" spans="1:14">
      <c r="A7" s="17" t="s">
        <v>201</v>
      </c>
      <c r="B7" s="3">
        <v>840000</v>
      </c>
      <c r="C7" s="3">
        <v>843200</v>
      </c>
      <c r="D7" s="3">
        <v>768800</v>
      </c>
      <c r="E7" s="3">
        <v>792525</v>
      </c>
      <c r="F7" s="3">
        <v>924000</v>
      </c>
      <c r="G7" s="3">
        <v>955460</v>
      </c>
      <c r="H7" s="3">
        <v>987320</v>
      </c>
      <c r="I7" s="3">
        <v>987320</v>
      </c>
      <c r="J7" s="3">
        <v>972580</v>
      </c>
      <c r="K7" s="3">
        <v>972500</v>
      </c>
      <c r="L7" s="3">
        <v>947890</v>
      </c>
      <c r="M7" s="3">
        <v>845230</v>
      </c>
      <c r="N7" s="3">
        <f t="shared" si="0"/>
        <v>10836825</v>
      </c>
    </row>
    <row r="8" spans="1:14">
      <c r="A8" s="17" t="s">
        <v>202</v>
      </c>
      <c r="B8" s="3">
        <v>727680</v>
      </c>
      <c r="C8" s="3">
        <v>1204800</v>
      </c>
      <c r="D8" s="3">
        <v>691200</v>
      </c>
      <c r="E8" s="3">
        <v>1070400</v>
      </c>
      <c r="F8" s="3">
        <v>960000</v>
      </c>
      <c r="G8" s="3">
        <v>998400</v>
      </c>
      <c r="H8" s="3">
        <v>1039898</v>
      </c>
      <c r="I8" s="3">
        <v>1074562</v>
      </c>
      <c r="J8" s="3">
        <v>1135139</v>
      </c>
      <c r="K8" s="3">
        <v>1036800</v>
      </c>
      <c r="L8" s="3">
        <v>972000</v>
      </c>
      <c r="M8" s="3">
        <v>1078000</v>
      </c>
      <c r="N8" s="3">
        <f t="shared" si="0"/>
        <v>11988879</v>
      </c>
    </row>
    <row r="9" spans="1:14">
      <c r="A9" s="18" t="s">
        <v>203</v>
      </c>
      <c r="B9" s="116">
        <v>940800</v>
      </c>
      <c r="C9" s="116">
        <v>979200</v>
      </c>
      <c r="D9" s="116">
        <v>1008000</v>
      </c>
      <c r="E9" s="116">
        <v>1135200</v>
      </c>
      <c r="F9" s="116">
        <v>1144800</v>
      </c>
      <c r="G9" s="116">
        <v>1096800</v>
      </c>
      <c r="H9" s="116">
        <v>1195200</v>
      </c>
      <c r="I9" s="116">
        <v>936000</v>
      </c>
      <c r="J9" s="116">
        <v>1034400</v>
      </c>
      <c r="K9" s="116">
        <v>1161600</v>
      </c>
      <c r="L9" s="116">
        <v>1039200</v>
      </c>
      <c r="M9" s="116">
        <v>1111200</v>
      </c>
      <c r="N9" s="3">
        <f t="shared" si="0"/>
        <v>12782400</v>
      </c>
    </row>
    <row r="10" spans="1:14">
      <c r="A10" s="18" t="s">
        <v>204</v>
      </c>
      <c r="B10" s="116">
        <v>1012800</v>
      </c>
      <c r="C10" s="116">
        <v>1022400</v>
      </c>
      <c r="D10" s="116">
        <v>1212000</v>
      </c>
      <c r="E10" s="116">
        <v>1128000</v>
      </c>
      <c r="F10" s="116">
        <v>1128000</v>
      </c>
      <c r="G10" s="116">
        <v>945600</v>
      </c>
      <c r="H10" s="116">
        <v>1195200</v>
      </c>
      <c r="I10" s="116">
        <v>1056000</v>
      </c>
      <c r="J10" s="116">
        <v>1101600</v>
      </c>
      <c r="K10" s="116">
        <v>1039200</v>
      </c>
      <c r="L10" s="116">
        <v>1130400</v>
      </c>
      <c r="M10" s="116">
        <v>1008000</v>
      </c>
      <c r="N10" s="3">
        <f t="shared" si="0"/>
        <v>12979200</v>
      </c>
    </row>
    <row r="11" spans="1:14">
      <c r="A11" s="18" t="s">
        <v>181</v>
      </c>
      <c r="B11" s="69">
        <v>974400</v>
      </c>
      <c r="C11" s="69">
        <v>1123200</v>
      </c>
      <c r="D11" s="69">
        <v>1125600</v>
      </c>
      <c r="E11" s="69">
        <v>1096800</v>
      </c>
      <c r="F11" s="69">
        <v>1020000</v>
      </c>
      <c r="G11" s="69">
        <v>1099200</v>
      </c>
      <c r="H11" s="69">
        <v>849600</v>
      </c>
      <c r="I11" s="69">
        <v>1020000</v>
      </c>
      <c r="J11" s="69">
        <v>1039200</v>
      </c>
      <c r="K11" s="69">
        <v>936000</v>
      </c>
      <c r="L11" s="69">
        <v>878400</v>
      </c>
      <c r="M11" s="69">
        <v>955200</v>
      </c>
      <c r="N11" s="3">
        <f t="shared" si="0"/>
        <v>12117600</v>
      </c>
    </row>
    <row r="12" spans="1:14">
      <c r="A12" s="18" t="s">
        <v>180</v>
      </c>
      <c r="B12" s="69">
        <v>960000</v>
      </c>
      <c r="C12" s="69">
        <v>1058400</v>
      </c>
      <c r="D12" s="69">
        <v>1468800</v>
      </c>
      <c r="E12" s="69">
        <v>891072</v>
      </c>
      <c r="F12" s="69">
        <v>909792</v>
      </c>
      <c r="G12" s="69">
        <v>876096</v>
      </c>
      <c r="H12" s="69">
        <v>1096992</v>
      </c>
      <c r="I12" s="69">
        <v>662688</v>
      </c>
      <c r="J12" s="69">
        <v>1029600</v>
      </c>
      <c r="K12" s="69">
        <v>692640</v>
      </c>
      <c r="L12" s="69">
        <v>1048320</v>
      </c>
      <c r="M12" s="69">
        <v>917568</v>
      </c>
      <c r="N12" s="3">
        <f t="shared" si="0"/>
        <v>11611968</v>
      </c>
    </row>
    <row r="13" spans="1:14">
      <c r="A13" s="18" t="s">
        <v>179</v>
      </c>
      <c r="B13" s="69">
        <v>1000800</v>
      </c>
      <c r="C13" s="69">
        <v>1365600</v>
      </c>
      <c r="D13" s="69">
        <v>924000</v>
      </c>
      <c r="E13" s="69">
        <v>837600</v>
      </c>
      <c r="F13" s="69">
        <v>1231200</v>
      </c>
      <c r="G13" s="69">
        <v>1116000</v>
      </c>
      <c r="H13" s="69">
        <v>856800</v>
      </c>
      <c r="I13" s="69">
        <v>1293600</v>
      </c>
      <c r="J13" s="69">
        <v>926400</v>
      </c>
      <c r="K13" s="69">
        <v>1094400</v>
      </c>
      <c r="L13" s="69">
        <v>1243200</v>
      </c>
      <c r="M13" s="69">
        <v>849600</v>
      </c>
      <c r="N13" s="69">
        <f t="shared" ref="N13:N22" si="1">SUM(B13:M13)</f>
        <v>12739200</v>
      </c>
    </row>
    <row r="14" spans="1:14">
      <c r="A14" s="18" t="s">
        <v>178</v>
      </c>
      <c r="B14" s="69">
        <v>1056000</v>
      </c>
      <c r="C14" s="69">
        <v>1262400</v>
      </c>
      <c r="D14" s="69">
        <v>1020000</v>
      </c>
      <c r="E14" s="69">
        <v>1329600</v>
      </c>
      <c r="F14" s="69">
        <v>998400</v>
      </c>
      <c r="G14" s="69">
        <v>1291200</v>
      </c>
      <c r="H14" s="69">
        <v>854400</v>
      </c>
      <c r="I14" s="69">
        <v>1128000</v>
      </c>
      <c r="J14" s="69">
        <v>1240800</v>
      </c>
      <c r="K14" s="69">
        <v>976800</v>
      </c>
      <c r="L14" s="69">
        <v>1101600</v>
      </c>
      <c r="M14" s="69">
        <v>998400</v>
      </c>
      <c r="N14" s="69">
        <f t="shared" si="1"/>
        <v>13257600</v>
      </c>
    </row>
    <row r="15" spans="1:14">
      <c r="A15" s="18" t="s">
        <v>276</v>
      </c>
      <c r="B15" s="69">
        <v>967200</v>
      </c>
      <c r="C15" s="69">
        <v>1039200</v>
      </c>
      <c r="D15" s="69">
        <v>1240800</v>
      </c>
      <c r="E15" s="69">
        <v>1159200</v>
      </c>
      <c r="F15" s="69">
        <v>1257600</v>
      </c>
      <c r="G15" s="69">
        <v>1015200</v>
      </c>
      <c r="H15" s="69">
        <v>1180800</v>
      </c>
      <c r="I15" s="69">
        <v>1041600</v>
      </c>
      <c r="J15" s="69">
        <v>1060800</v>
      </c>
      <c r="K15" s="69">
        <v>844800</v>
      </c>
      <c r="L15" s="69">
        <v>1274400</v>
      </c>
      <c r="M15" s="69">
        <v>888000</v>
      </c>
      <c r="N15" s="69">
        <f t="shared" si="1"/>
        <v>12969600</v>
      </c>
    </row>
    <row r="16" spans="1:14">
      <c r="A16" s="18" t="s">
        <v>286</v>
      </c>
      <c r="B16" s="69">
        <v>899585</v>
      </c>
      <c r="C16" s="69">
        <v>1105860</v>
      </c>
      <c r="D16" s="69">
        <v>977142</v>
      </c>
      <c r="E16" s="69">
        <v>1265510</v>
      </c>
      <c r="F16" s="69">
        <v>1079949</v>
      </c>
      <c r="G16" s="69">
        <v>1045310</v>
      </c>
      <c r="H16" s="69">
        <v>1015844</v>
      </c>
      <c r="I16" s="69">
        <v>1087376</v>
      </c>
      <c r="J16" s="69">
        <v>1196023</v>
      </c>
      <c r="K16" s="69">
        <v>1237149</v>
      </c>
      <c r="L16" s="69">
        <v>1045415</v>
      </c>
      <c r="M16" s="69">
        <v>989008</v>
      </c>
      <c r="N16" s="69">
        <f t="shared" si="1"/>
        <v>12944171</v>
      </c>
    </row>
    <row r="17" spans="1:14">
      <c r="A17" s="18" t="s">
        <v>294</v>
      </c>
      <c r="B17" s="69">
        <v>1029339</v>
      </c>
      <c r="C17" s="69">
        <v>1209515</v>
      </c>
      <c r="D17" s="69">
        <v>1077824</v>
      </c>
      <c r="E17" s="69">
        <v>1224364</v>
      </c>
      <c r="F17" s="69">
        <v>1065547</v>
      </c>
      <c r="G17" s="69">
        <v>1007698</v>
      </c>
      <c r="H17" s="69">
        <v>1236344</v>
      </c>
      <c r="I17" s="69">
        <v>1033577</v>
      </c>
      <c r="J17" s="69">
        <v>1140243</v>
      </c>
      <c r="K17" s="69">
        <v>1071488</v>
      </c>
      <c r="L17" s="69">
        <v>1012501</v>
      </c>
      <c r="M17" s="69">
        <v>950317</v>
      </c>
      <c r="N17" s="69">
        <f t="shared" si="1"/>
        <v>13058757</v>
      </c>
    </row>
    <row r="18" spans="1:14">
      <c r="A18" s="18" t="s">
        <v>316</v>
      </c>
      <c r="B18" s="69">
        <v>1005600</v>
      </c>
      <c r="C18" s="69">
        <v>1171200</v>
      </c>
      <c r="D18" s="69">
        <v>1056000</v>
      </c>
      <c r="E18" s="69">
        <v>1118400</v>
      </c>
      <c r="F18" s="69">
        <v>1036800</v>
      </c>
      <c r="G18" s="69">
        <v>1075200</v>
      </c>
      <c r="H18" s="69">
        <v>1075200</v>
      </c>
      <c r="I18" s="69">
        <v>938400</v>
      </c>
      <c r="J18" s="69">
        <v>1048800</v>
      </c>
      <c r="K18" s="69">
        <v>1070400</v>
      </c>
      <c r="L18" s="69">
        <v>959000</v>
      </c>
      <c r="M18" s="69">
        <v>844200</v>
      </c>
      <c r="N18" s="69">
        <f t="shared" si="1"/>
        <v>12399200</v>
      </c>
    </row>
    <row r="19" spans="1:14">
      <c r="A19" s="18" t="s">
        <v>364</v>
      </c>
      <c r="B19" s="69">
        <v>872200</v>
      </c>
      <c r="C19" s="69">
        <v>982800</v>
      </c>
      <c r="D19" s="69">
        <v>890400</v>
      </c>
      <c r="E19" s="69">
        <v>1080800</v>
      </c>
      <c r="F19" s="69">
        <v>905800</v>
      </c>
      <c r="G19" s="69">
        <v>910000</v>
      </c>
      <c r="H19" s="69">
        <v>996800</v>
      </c>
      <c r="I19" s="69">
        <v>814800</v>
      </c>
      <c r="J19" s="69">
        <v>950600</v>
      </c>
      <c r="K19" s="69">
        <v>848400</v>
      </c>
      <c r="L19" s="69">
        <v>889000</v>
      </c>
      <c r="M19" s="69">
        <v>645657</v>
      </c>
      <c r="N19" s="69">
        <f t="shared" si="1"/>
        <v>10787257</v>
      </c>
    </row>
    <row r="20" spans="1:14">
      <c r="A20" s="358" t="s">
        <v>378</v>
      </c>
      <c r="B20" s="294">
        <v>737100</v>
      </c>
      <c r="C20" s="294">
        <v>1125600</v>
      </c>
      <c r="D20" s="294">
        <v>1106700</v>
      </c>
      <c r="E20" s="294">
        <v>1283100</v>
      </c>
      <c r="F20" s="294">
        <v>942900</v>
      </c>
      <c r="G20" s="294">
        <v>1033200</v>
      </c>
      <c r="H20" s="294">
        <v>1106700</v>
      </c>
      <c r="I20" s="294">
        <v>1001700</v>
      </c>
      <c r="J20" s="294">
        <v>1155000</v>
      </c>
      <c r="K20" s="294">
        <v>926200</v>
      </c>
      <c r="L20" s="294">
        <v>1008000</v>
      </c>
      <c r="M20" s="294">
        <v>911400</v>
      </c>
      <c r="N20" s="294">
        <f t="shared" si="1"/>
        <v>12337600</v>
      </c>
    </row>
    <row r="21" spans="1:14">
      <c r="A21" s="358" t="s">
        <v>421</v>
      </c>
      <c r="B21" s="294">
        <v>701400</v>
      </c>
      <c r="C21" s="294">
        <v>1087100</v>
      </c>
      <c r="D21" s="294">
        <v>866600</v>
      </c>
      <c r="E21" s="294">
        <v>1066100</v>
      </c>
      <c r="F21" s="294">
        <v>996800</v>
      </c>
      <c r="G21" s="294">
        <v>980000</v>
      </c>
      <c r="H21" s="294">
        <v>1106000</v>
      </c>
      <c r="I21" s="294">
        <v>1047200</v>
      </c>
      <c r="J21" s="294">
        <v>1045800</v>
      </c>
      <c r="K21" s="294">
        <v>980000</v>
      </c>
      <c r="L21" s="294">
        <v>945000</v>
      </c>
      <c r="M21" s="294">
        <v>848400</v>
      </c>
      <c r="N21" s="294">
        <f t="shared" si="1"/>
        <v>11670400</v>
      </c>
    </row>
    <row r="22" spans="1:14">
      <c r="A22" s="358" t="s">
        <v>457</v>
      </c>
      <c r="B22" s="294">
        <v>945000</v>
      </c>
      <c r="C22" s="294">
        <v>1044400</v>
      </c>
      <c r="D22" s="294">
        <v>983500</v>
      </c>
      <c r="E22" s="294">
        <v>992600</v>
      </c>
      <c r="F22" s="294">
        <v>998200</v>
      </c>
      <c r="G22" s="294">
        <v>1003100</v>
      </c>
      <c r="H22" s="294">
        <v>1118600</v>
      </c>
      <c r="I22" s="294">
        <v>1021300</v>
      </c>
      <c r="J22" s="294">
        <v>1008000</v>
      </c>
      <c r="K22" s="294">
        <v>968800</v>
      </c>
      <c r="L22" s="294">
        <v>947800</v>
      </c>
      <c r="M22" s="294">
        <v>856100</v>
      </c>
      <c r="N22" s="294">
        <f t="shared" si="1"/>
        <v>11887400</v>
      </c>
    </row>
    <row r="23" spans="1:14">
      <c r="A23" s="358" t="s">
        <v>500</v>
      </c>
      <c r="B23" s="294">
        <v>812000</v>
      </c>
      <c r="C23" s="294">
        <v>1013600</v>
      </c>
      <c r="D23" s="294">
        <v>978600</v>
      </c>
      <c r="E23" s="294">
        <v>975100</v>
      </c>
      <c r="F23" s="294">
        <v>963200</v>
      </c>
      <c r="G23" s="294">
        <v>918400</v>
      </c>
      <c r="H23" s="294">
        <v>1080100</v>
      </c>
      <c r="I23" s="294">
        <v>929600</v>
      </c>
      <c r="J23" s="294">
        <v>1026200</v>
      </c>
      <c r="K23" s="294">
        <v>931000</v>
      </c>
      <c r="L23" s="294">
        <v>1026200</v>
      </c>
      <c r="M23" s="294">
        <v>800100</v>
      </c>
      <c r="N23" s="294">
        <f>SUM(B23:M23)</f>
        <v>11454100</v>
      </c>
    </row>
    <row r="24" spans="1:14">
      <c r="A24" s="358" t="s">
        <v>525</v>
      </c>
      <c r="B24" s="294">
        <v>912800</v>
      </c>
      <c r="C24" s="294">
        <v>1193500</v>
      </c>
      <c r="D24" s="294">
        <v>866600</v>
      </c>
      <c r="E24" s="294">
        <v>1045800</v>
      </c>
      <c r="F24" s="294">
        <v>947800</v>
      </c>
      <c r="G24" s="294">
        <v>1035300</v>
      </c>
      <c r="H24" s="294">
        <v>1059100</v>
      </c>
      <c r="I24" s="294">
        <v>953400</v>
      </c>
      <c r="J24" s="294">
        <v>1057700</v>
      </c>
      <c r="K24" s="294">
        <v>971600</v>
      </c>
      <c r="L24" s="294">
        <v>1005200</v>
      </c>
      <c r="M24" s="294">
        <v>867300</v>
      </c>
      <c r="N24" s="294">
        <f>SUM(B24:M24)</f>
        <v>11916100</v>
      </c>
    </row>
    <row r="25" spans="1:14" ht="13.5" thickBot="1">
      <c r="A25" s="152" t="s">
        <v>30</v>
      </c>
      <c r="B25" s="23">
        <f>SUM(B3:B24)</f>
        <v>19442704</v>
      </c>
      <c r="C25" s="23">
        <f>SUM(C3:C24)</f>
        <v>23222975</v>
      </c>
      <c r="D25" s="23">
        <f>SUM(D3:D23)</f>
        <v>20607166</v>
      </c>
      <c r="E25" s="23">
        <f>SUM(E3:E23)</f>
        <v>22161784</v>
      </c>
      <c r="F25" s="23">
        <f>SUM(F3:F23)</f>
        <v>20826168</v>
      </c>
      <c r="G25" s="23">
        <f t="shared" ref="G25:M25" si="2">SUM(G3:G24)</f>
        <v>22133448</v>
      </c>
      <c r="H25" s="23">
        <f t="shared" si="2"/>
        <v>22828180</v>
      </c>
      <c r="I25" s="23">
        <f t="shared" si="2"/>
        <v>21462537</v>
      </c>
      <c r="J25" s="23">
        <f t="shared" si="2"/>
        <v>23337685</v>
      </c>
      <c r="K25" s="23">
        <f t="shared" si="2"/>
        <v>21162977</v>
      </c>
      <c r="L25" s="23">
        <f t="shared" si="2"/>
        <v>22186326</v>
      </c>
      <c r="M25" s="23">
        <f t="shared" si="2"/>
        <v>19464480</v>
      </c>
      <c r="N25" s="23">
        <f>SUM(N3:N23)</f>
        <v>249780530</v>
      </c>
    </row>
    <row r="26" spans="1:14">
      <c r="A26" s="150"/>
      <c r="B26" s="69"/>
      <c r="C26" s="69"/>
      <c r="D26" s="69"/>
      <c r="E26" s="69"/>
      <c r="F26" s="69"/>
      <c r="G26" s="69"/>
      <c r="H26" s="69"/>
      <c r="I26" s="69"/>
      <c r="J26" s="69"/>
      <c r="K26" s="69"/>
      <c r="L26" s="69"/>
      <c r="M26" s="69"/>
      <c r="N26" s="69"/>
    </row>
    <row r="27" spans="1:14" ht="13.5" thickBot="1">
      <c r="A27" s="152" t="s">
        <v>275</v>
      </c>
      <c r="B27" s="23">
        <f>SUM(B20:B24)/5</f>
        <v>821660</v>
      </c>
      <c r="C27" s="23">
        <f t="shared" ref="C27:N27" si="3">SUM(C20:C24)/5</f>
        <v>1092840</v>
      </c>
      <c r="D27" s="23">
        <f t="shared" si="3"/>
        <v>960400</v>
      </c>
      <c r="E27" s="23">
        <f t="shared" si="3"/>
        <v>1072540</v>
      </c>
      <c r="F27" s="23">
        <f t="shared" si="3"/>
        <v>969780</v>
      </c>
      <c r="G27" s="23">
        <f t="shared" si="3"/>
        <v>994000</v>
      </c>
      <c r="H27" s="23">
        <f t="shared" si="3"/>
        <v>1094100</v>
      </c>
      <c r="I27" s="23">
        <f t="shared" si="3"/>
        <v>990640</v>
      </c>
      <c r="J27" s="23">
        <f t="shared" si="3"/>
        <v>1058540</v>
      </c>
      <c r="K27" s="23">
        <f t="shared" si="3"/>
        <v>955520</v>
      </c>
      <c r="L27" s="23">
        <f t="shared" si="3"/>
        <v>986440</v>
      </c>
      <c r="M27" s="23">
        <f t="shared" si="3"/>
        <v>856660</v>
      </c>
      <c r="N27" s="23">
        <f t="shared" si="3"/>
        <v>11853120</v>
      </c>
    </row>
  </sheetData>
  <phoneticPr fontId="0" type="noConversion"/>
  <printOptions gridLines="1" gridLinesSet="0"/>
  <pageMargins left="0.75" right="0.75" top="1" bottom="1" header="0.5" footer="0.5"/>
  <pageSetup scale="70" orientation="landscape" r:id="rId1"/>
  <headerFooter alignWithMargins="0">
    <oddHeader>&amp;A</oddHeader>
    <oddFooter>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5"/>
  <dimension ref="A1:N29"/>
  <sheetViews>
    <sheetView view="pageBreakPreview" zoomScale="75" zoomScaleNormal="100" workbookViewId="0">
      <selection activeCell="D26" sqref="D26"/>
    </sheetView>
  </sheetViews>
  <sheetFormatPr defaultRowHeight="12.75"/>
  <cols>
    <col min="1" max="1" width="29.7109375" customWidth="1"/>
    <col min="2" max="2" width="13.28515625" customWidth="1"/>
    <col min="3" max="3" width="12.7109375" customWidth="1"/>
    <col min="4" max="13" width="12" customWidth="1"/>
    <col min="14" max="14" width="13.28515625" customWidth="1"/>
  </cols>
  <sheetData>
    <row r="1" spans="1:14" ht="15">
      <c r="A1" s="29" t="s">
        <v>39</v>
      </c>
      <c r="B1" s="31" t="s">
        <v>40</v>
      </c>
      <c r="C1" s="31" t="s">
        <v>41</v>
      </c>
      <c r="D1" s="31" t="s">
        <v>42</v>
      </c>
      <c r="E1" s="31" t="s">
        <v>43</v>
      </c>
      <c r="F1" s="31" t="s">
        <v>44</v>
      </c>
      <c r="G1" s="31" t="s">
        <v>45</v>
      </c>
      <c r="H1" s="32"/>
      <c r="I1" s="31" t="s">
        <v>46</v>
      </c>
      <c r="J1" s="31" t="s">
        <v>47</v>
      </c>
      <c r="K1" s="31" t="s">
        <v>48</v>
      </c>
      <c r="L1" s="31" t="s">
        <v>49</v>
      </c>
      <c r="M1" s="31" t="s">
        <v>50</v>
      </c>
      <c r="N1" s="34" t="s">
        <v>51</v>
      </c>
    </row>
    <row r="2" spans="1:14" ht="15">
      <c r="A2" s="29" t="s">
        <v>52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5"/>
    </row>
    <row r="3" spans="1:14" ht="15">
      <c r="A3" s="30" t="s">
        <v>29</v>
      </c>
      <c r="B3" s="33" t="s">
        <v>53</v>
      </c>
      <c r="C3" s="33" t="s">
        <v>54</v>
      </c>
      <c r="D3" s="33" t="s">
        <v>55</v>
      </c>
      <c r="E3" s="33" t="s">
        <v>56</v>
      </c>
      <c r="F3" s="33" t="s">
        <v>57</v>
      </c>
      <c r="G3" s="33" t="s">
        <v>58</v>
      </c>
      <c r="H3" s="33" t="s">
        <v>59</v>
      </c>
      <c r="I3" s="33" t="s">
        <v>60</v>
      </c>
      <c r="J3" s="33" t="s">
        <v>61</v>
      </c>
      <c r="K3" s="33" t="s">
        <v>62</v>
      </c>
      <c r="L3" s="33" t="s">
        <v>63</v>
      </c>
      <c r="M3" s="33" t="s">
        <v>11</v>
      </c>
      <c r="N3" s="36" t="s">
        <v>30</v>
      </c>
    </row>
    <row r="4" spans="1:14">
      <c r="A4" s="16" t="s">
        <v>64</v>
      </c>
      <c r="B4" s="4">
        <v>40002.400000000001</v>
      </c>
      <c r="C4" s="4">
        <v>43554.85</v>
      </c>
      <c r="D4" s="4">
        <v>39046.44</v>
      </c>
      <c r="E4" s="4">
        <v>47470.22</v>
      </c>
      <c r="F4" s="4">
        <v>36457.51</v>
      </c>
      <c r="G4" s="4">
        <v>40253.019999999997</v>
      </c>
      <c r="H4" s="4">
        <v>39151.300000000003</v>
      </c>
      <c r="I4" s="4">
        <v>34274.9</v>
      </c>
      <c r="J4" s="4">
        <v>32454.02</v>
      </c>
      <c r="K4" s="4">
        <v>25671.79</v>
      </c>
      <c r="L4" s="4">
        <v>38774.29</v>
      </c>
      <c r="M4" s="4">
        <v>45942.720000000001</v>
      </c>
      <c r="N4" s="4">
        <f t="shared" ref="N4:N13" si="0">SUM(B4:M4)</f>
        <v>463053.45999999996</v>
      </c>
    </row>
    <row r="5" spans="1:14">
      <c r="A5" s="17" t="s">
        <v>31</v>
      </c>
      <c r="B5" s="4">
        <v>41113.47</v>
      </c>
      <c r="C5" s="4">
        <v>50860.74</v>
      </c>
      <c r="D5" s="4">
        <v>47208.14</v>
      </c>
      <c r="E5" s="4">
        <v>49653.69</v>
      </c>
      <c r="F5" s="4">
        <v>37847.85</v>
      </c>
      <c r="G5" s="4">
        <v>37085.370000000003</v>
      </c>
      <c r="H5" s="4">
        <v>36864.35</v>
      </c>
      <c r="I5" s="4">
        <v>30817.13</v>
      </c>
      <c r="J5" s="4">
        <v>39190.54</v>
      </c>
      <c r="K5" s="4">
        <v>33672.49</v>
      </c>
      <c r="L5" s="4">
        <v>37280.92</v>
      </c>
      <c r="M5" s="4">
        <v>32377.89</v>
      </c>
      <c r="N5" s="4">
        <f t="shared" si="0"/>
        <v>473972.57999999996</v>
      </c>
    </row>
    <row r="6" spans="1:14">
      <c r="A6" s="16" t="s">
        <v>32</v>
      </c>
      <c r="B6" s="4">
        <v>38314.85</v>
      </c>
      <c r="C6" s="4">
        <v>42152.25</v>
      </c>
      <c r="D6" s="4">
        <v>37079.75</v>
      </c>
      <c r="E6" s="4">
        <v>46777.86</v>
      </c>
      <c r="F6" s="4">
        <v>33218.57</v>
      </c>
      <c r="G6" s="4">
        <v>40339.61</v>
      </c>
      <c r="H6" s="4">
        <v>37360.15</v>
      </c>
      <c r="I6" s="4">
        <v>39558.76</v>
      </c>
      <c r="J6" s="4">
        <v>46266.57</v>
      </c>
      <c r="K6" s="4">
        <v>38935.94</v>
      </c>
      <c r="L6" s="4">
        <v>43266.57</v>
      </c>
      <c r="M6" s="4">
        <v>36921.269999999997</v>
      </c>
      <c r="N6" s="4">
        <f t="shared" si="0"/>
        <v>480192.15000000008</v>
      </c>
    </row>
    <row r="7" spans="1:14">
      <c r="A7" s="17" t="s">
        <v>33</v>
      </c>
      <c r="B7" s="4">
        <v>40091.94</v>
      </c>
      <c r="C7" s="4">
        <v>40591.980000000003</v>
      </c>
      <c r="D7" s="4">
        <v>44375.95</v>
      </c>
      <c r="E7" s="4">
        <v>43186.49</v>
      </c>
      <c r="F7" s="4">
        <v>44626.02</v>
      </c>
      <c r="G7" s="4">
        <v>41549.879999999997</v>
      </c>
      <c r="H7" s="4">
        <v>40723.46</v>
      </c>
      <c r="I7" s="4">
        <v>37921.42</v>
      </c>
      <c r="J7" s="4">
        <v>44894.64</v>
      </c>
      <c r="K7" s="4">
        <v>36792.89</v>
      </c>
      <c r="L7" s="4">
        <v>37620.550000000003</v>
      </c>
      <c r="M7" s="4">
        <v>35346.300000000003</v>
      </c>
      <c r="N7" s="4">
        <f t="shared" si="0"/>
        <v>487721.52</v>
      </c>
    </row>
    <row r="8" spans="1:14">
      <c r="A8" s="17" t="s">
        <v>34</v>
      </c>
      <c r="B8" s="4">
        <v>45600.2</v>
      </c>
      <c r="C8" s="4">
        <v>44893.52</v>
      </c>
      <c r="D8" s="4">
        <v>52046.86</v>
      </c>
      <c r="E8" s="4">
        <v>52102.41</v>
      </c>
      <c r="F8" s="4">
        <v>31287.66</v>
      </c>
      <c r="G8" s="4">
        <v>42689.29</v>
      </c>
      <c r="H8" s="4">
        <v>43780.36</v>
      </c>
      <c r="I8" s="4">
        <v>39800.33</v>
      </c>
      <c r="J8" s="4">
        <v>40413.64</v>
      </c>
      <c r="K8" s="4">
        <v>39014.339999999997</v>
      </c>
      <c r="L8" s="4">
        <v>41888.239999999998</v>
      </c>
      <c r="M8" s="4">
        <v>34366.22</v>
      </c>
      <c r="N8" s="4">
        <f t="shared" si="0"/>
        <v>507883.06999999995</v>
      </c>
    </row>
    <row r="9" spans="1:14">
      <c r="A9" s="17" t="s">
        <v>35</v>
      </c>
      <c r="B9" s="4">
        <v>46925.95</v>
      </c>
      <c r="C9" s="4">
        <v>51452.69</v>
      </c>
      <c r="D9" s="4">
        <v>46912.74</v>
      </c>
      <c r="E9" s="4">
        <v>43310.12</v>
      </c>
      <c r="F9" s="4">
        <v>41541.300000000003</v>
      </c>
      <c r="G9" s="4">
        <v>41915.279999999999</v>
      </c>
      <c r="H9" s="4">
        <v>43312.45</v>
      </c>
      <c r="I9" s="4">
        <v>43312.45</v>
      </c>
      <c r="J9" s="4">
        <v>41359.760000000002</v>
      </c>
      <c r="K9" s="4">
        <v>43473.7</v>
      </c>
      <c r="L9" s="4">
        <v>43714.81</v>
      </c>
      <c r="M9" s="4">
        <v>44719.41</v>
      </c>
      <c r="N9" s="4">
        <f t="shared" si="0"/>
        <v>531950.66</v>
      </c>
    </row>
    <row r="10" spans="1:14">
      <c r="A10" s="17" t="s">
        <v>65</v>
      </c>
      <c r="B10" s="4">
        <v>36089.46</v>
      </c>
      <c r="C10" s="4">
        <v>55056.45</v>
      </c>
      <c r="D10" s="4">
        <v>46912.74</v>
      </c>
      <c r="E10" s="4">
        <v>56136.57</v>
      </c>
      <c r="F10" s="4">
        <v>44123.69</v>
      </c>
      <c r="G10" s="4">
        <v>45668.97</v>
      </c>
      <c r="H10" s="4">
        <v>44214.67</v>
      </c>
      <c r="I10" s="4">
        <v>45688.5</v>
      </c>
      <c r="J10" s="4">
        <v>47543.95</v>
      </c>
      <c r="K10" s="4">
        <v>44095.82</v>
      </c>
      <c r="L10" s="4">
        <v>46660.08</v>
      </c>
      <c r="M10" s="4">
        <v>46988.51</v>
      </c>
      <c r="N10" s="4">
        <f t="shared" si="0"/>
        <v>559179.41</v>
      </c>
    </row>
    <row r="11" spans="1:14">
      <c r="A11" s="17" t="s">
        <v>140</v>
      </c>
      <c r="B11" s="4">
        <v>51716.17</v>
      </c>
      <c r="C11" s="4">
        <v>50880.21</v>
      </c>
      <c r="D11" s="4">
        <v>52281.52</v>
      </c>
      <c r="E11" s="4">
        <v>64303.48</v>
      </c>
      <c r="F11" s="4">
        <v>56190.32</v>
      </c>
      <c r="G11" s="4">
        <v>49899.49</v>
      </c>
      <c r="H11" s="4">
        <v>50752.79</v>
      </c>
      <c r="I11" s="4">
        <v>42517.47</v>
      </c>
      <c r="J11" s="4">
        <v>46017.2</v>
      </c>
      <c r="K11" s="4">
        <v>48439.02</v>
      </c>
      <c r="L11" s="4">
        <v>48518</v>
      </c>
      <c r="M11" s="4">
        <v>52378.32</v>
      </c>
      <c r="N11" s="4">
        <f t="shared" si="0"/>
        <v>613893.98999999987</v>
      </c>
    </row>
    <row r="12" spans="1:14">
      <c r="A12" s="17" t="s">
        <v>139</v>
      </c>
      <c r="B12" s="4">
        <v>56859.53</v>
      </c>
      <c r="C12" s="4">
        <v>54769.440000000002</v>
      </c>
      <c r="D12" s="4">
        <v>61577.19</v>
      </c>
      <c r="E12" s="4">
        <v>61033.56</v>
      </c>
      <c r="F12" s="4">
        <v>52785.32</v>
      </c>
      <c r="G12" s="4">
        <v>46722.9</v>
      </c>
      <c r="H12" s="4">
        <v>51000.75</v>
      </c>
      <c r="I12" s="4">
        <v>45236.65</v>
      </c>
      <c r="J12" s="4">
        <v>49097.71</v>
      </c>
      <c r="K12" s="4">
        <v>47346.81</v>
      </c>
      <c r="L12" s="4">
        <v>53244.68</v>
      </c>
      <c r="M12" s="4">
        <v>47022.400000000001</v>
      </c>
      <c r="N12" s="4">
        <f t="shared" si="0"/>
        <v>626696.94000000018</v>
      </c>
    </row>
    <row r="13" spans="1:14">
      <c r="A13" s="4" t="s">
        <v>136</v>
      </c>
      <c r="B13" s="77">
        <v>51795.48</v>
      </c>
      <c r="C13" s="77">
        <v>60748.07</v>
      </c>
      <c r="D13" s="77">
        <v>59773.29</v>
      </c>
      <c r="E13" s="77">
        <v>64595.98</v>
      </c>
      <c r="F13" s="77">
        <v>52768.07</v>
      </c>
      <c r="G13" s="77">
        <v>51195.01</v>
      </c>
      <c r="H13" s="77">
        <v>51791.91</v>
      </c>
      <c r="I13" s="77">
        <v>46138.66</v>
      </c>
      <c r="J13" s="77">
        <v>47863.360000000001</v>
      </c>
      <c r="K13" s="77">
        <v>45512.26</v>
      </c>
      <c r="L13" s="77">
        <v>47971.26</v>
      </c>
      <c r="M13" s="77">
        <v>41545.57</v>
      </c>
      <c r="N13" s="4">
        <f t="shared" si="0"/>
        <v>621698.92000000004</v>
      </c>
    </row>
    <row r="14" spans="1:14">
      <c r="A14" s="4" t="s">
        <v>152</v>
      </c>
      <c r="B14" s="77">
        <v>50437.32</v>
      </c>
      <c r="C14" s="77">
        <v>58385.34</v>
      </c>
      <c r="D14" s="77">
        <v>75659.320000000007</v>
      </c>
      <c r="E14" s="77">
        <v>44676.62</v>
      </c>
      <c r="F14" s="77">
        <v>40321.379999999997</v>
      </c>
      <c r="G14" s="77">
        <v>39542.879999999997</v>
      </c>
      <c r="H14" s="77">
        <v>48231.54</v>
      </c>
      <c r="I14" s="77">
        <v>35124.089999999997</v>
      </c>
      <c r="J14" s="77">
        <v>50692.36</v>
      </c>
      <c r="K14" s="77">
        <v>27815.23</v>
      </c>
      <c r="L14" s="77">
        <v>48915.4</v>
      </c>
      <c r="M14" s="77">
        <v>47748.59</v>
      </c>
      <c r="N14" s="77">
        <f t="shared" ref="N14:N19" si="1">SUM(B14:M14)</f>
        <v>567550.06999999995</v>
      </c>
    </row>
    <row r="15" spans="1:14">
      <c r="A15" s="4" t="s">
        <v>205</v>
      </c>
      <c r="B15" s="77">
        <v>60568.28</v>
      </c>
      <c r="C15" s="77">
        <v>80559.47</v>
      </c>
      <c r="D15" s="77">
        <v>58604.17</v>
      </c>
      <c r="E15" s="77">
        <v>44218.28</v>
      </c>
      <c r="F15" s="77">
        <v>60031.62</v>
      </c>
      <c r="G15" s="77">
        <v>50221.63</v>
      </c>
      <c r="H15" s="77">
        <v>41399.07</v>
      </c>
      <c r="I15" s="77">
        <v>60250.73</v>
      </c>
      <c r="J15" s="77">
        <v>40347.550000000003</v>
      </c>
      <c r="K15" s="77">
        <v>48772.09</v>
      </c>
      <c r="L15" s="77">
        <v>53994.66</v>
      </c>
      <c r="M15" s="77">
        <v>41054.879999999997</v>
      </c>
      <c r="N15" s="77">
        <f t="shared" si="1"/>
        <v>640022.43000000005</v>
      </c>
    </row>
    <row r="16" spans="1:14">
      <c r="A16" s="4" t="s">
        <v>206</v>
      </c>
      <c r="B16" s="77">
        <v>59752.38</v>
      </c>
      <c r="C16" s="77">
        <v>67141.22</v>
      </c>
      <c r="D16" s="77">
        <v>57980.87</v>
      </c>
      <c r="E16" s="77">
        <v>65093.01</v>
      </c>
      <c r="F16" s="77">
        <v>42350.29</v>
      </c>
      <c r="G16" s="77">
        <v>54781.48</v>
      </c>
      <c r="H16" s="77">
        <v>40805.910000000003</v>
      </c>
      <c r="I16" s="77">
        <v>49771.51</v>
      </c>
      <c r="J16" s="77">
        <v>51971.35</v>
      </c>
      <c r="K16" s="77">
        <v>45086.04</v>
      </c>
      <c r="L16" s="77">
        <v>51176.88</v>
      </c>
      <c r="M16" s="77">
        <v>52002.85</v>
      </c>
      <c r="N16" s="77">
        <f t="shared" si="1"/>
        <v>637913.79</v>
      </c>
    </row>
    <row r="17" spans="1:14">
      <c r="A17" s="4" t="s">
        <v>277</v>
      </c>
      <c r="B17" s="77">
        <v>55074.63</v>
      </c>
      <c r="C17" s="77">
        <v>58882.69</v>
      </c>
      <c r="D17" s="77">
        <v>68025.47</v>
      </c>
      <c r="E17" s="77">
        <v>59587.77</v>
      </c>
      <c r="F17" s="77">
        <v>60317.21</v>
      </c>
      <c r="G17" s="77">
        <v>45625.39</v>
      </c>
      <c r="H17" s="77">
        <v>52572.23</v>
      </c>
      <c r="I17" s="77">
        <v>47503.98</v>
      </c>
      <c r="J17" s="77">
        <v>49614.92</v>
      </c>
      <c r="K17" s="77">
        <v>39192.97</v>
      </c>
      <c r="L17" s="77">
        <v>56545.279999999999</v>
      </c>
      <c r="M17" s="77">
        <v>46313.9</v>
      </c>
      <c r="N17" s="77">
        <f t="shared" si="1"/>
        <v>639256.44000000006</v>
      </c>
    </row>
    <row r="18" spans="1:14">
      <c r="A18" s="4" t="s">
        <v>319</v>
      </c>
      <c r="B18" s="77">
        <v>54260.62</v>
      </c>
      <c r="C18" s="77">
        <v>63469.84</v>
      </c>
      <c r="D18" s="77">
        <v>56512.7</v>
      </c>
      <c r="E18" s="77">
        <v>68456.06</v>
      </c>
      <c r="F18" s="77">
        <v>53441.57</v>
      </c>
      <c r="G18" s="77">
        <v>53882.23</v>
      </c>
      <c r="H18" s="77">
        <v>50785.279999999999</v>
      </c>
      <c r="I18" s="77">
        <v>50212.800000000003</v>
      </c>
      <c r="J18" s="77">
        <v>58761.35</v>
      </c>
      <c r="K18" s="77">
        <v>57560.21</v>
      </c>
      <c r="L18" s="77">
        <v>55329.03</v>
      </c>
      <c r="M18" s="77">
        <v>54578.99</v>
      </c>
      <c r="N18" s="77">
        <f t="shared" si="1"/>
        <v>677250.67999999993</v>
      </c>
    </row>
    <row r="19" spans="1:14">
      <c r="A19" s="4" t="s">
        <v>297</v>
      </c>
      <c r="B19" s="77">
        <v>68546.080000000002</v>
      </c>
      <c r="C19" s="77">
        <v>76184.17</v>
      </c>
      <c r="D19" s="77">
        <v>79427.8</v>
      </c>
      <c r="E19" s="77">
        <v>78117.58</v>
      </c>
      <c r="F19" s="77">
        <v>61548.14</v>
      </c>
      <c r="G19" s="77">
        <v>57570.61</v>
      </c>
      <c r="H19" s="77">
        <v>68579.44</v>
      </c>
      <c r="I19" s="77">
        <v>63251.23</v>
      </c>
      <c r="J19" s="77">
        <v>75515.97</v>
      </c>
      <c r="K19" s="77">
        <v>65617.58</v>
      </c>
      <c r="L19" s="77">
        <v>60893.45</v>
      </c>
      <c r="M19" s="77">
        <v>51877.3</v>
      </c>
      <c r="N19" s="77">
        <f t="shared" si="1"/>
        <v>807129.35</v>
      </c>
    </row>
    <row r="20" spans="1:14">
      <c r="A20" s="4" t="s">
        <v>318</v>
      </c>
      <c r="B20" s="77">
        <v>63733.17</v>
      </c>
      <c r="C20" s="77">
        <v>88526.74</v>
      </c>
      <c r="D20" s="77">
        <v>82293.42</v>
      </c>
      <c r="E20" s="77">
        <v>85211.58</v>
      </c>
      <c r="F20" s="77">
        <v>72564.820000000007</v>
      </c>
      <c r="G20" s="77">
        <v>64331.44</v>
      </c>
      <c r="H20" s="77">
        <v>64468.21</v>
      </c>
      <c r="I20" s="77">
        <v>61057.55</v>
      </c>
      <c r="J20" s="77">
        <v>65068.1</v>
      </c>
      <c r="K20" s="77">
        <v>64259.32</v>
      </c>
      <c r="L20" s="77">
        <v>67892.13</v>
      </c>
      <c r="M20" s="77">
        <v>57182.14</v>
      </c>
      <c r="N20" s="77">
        <f t="shared" ref="N20:N26" si="2">SUM(B20:M20)</f>
        <v>836588.62</v>
      </c>
    </row>
    <row r="21" spans="1:14">
      <c r="A21" s="4" t="s">
        <v>365</v>
      </c>
      <c r="B21" s="77">
        <v>71047.17</v>
      </c>
      <c r="C21" s="77">
        <v>88678.11</v>
      </c>
      <c r="D21" s="77">
        <v>78241.95</v>
      </c>
      <c r="E21" s="77">
        <v>72049.350000000006</v>
      </c>
      <c r="F21" s="77">
        <v>54836.99</v>
      </c>
      <c r="G21" s="77">
        <v>59534.080000000002</v>
      </c>
      <c r="H21" s="77">
        <v>69111</v>
      </c>
      <c r="I21" s="77">
        <v>60478.93</v>
      </c>
      <c r="J21" s="77">
        <v>65735.48</v>
      </c>
      <c r="K21" s="77">
        <v>60521.62</v>
      </c>
      <c r="L21" s="77">
        <v>59102.9</v>
      </c>
      <c r="M21" s="77">
        <v>56881.26</v>
      </c>
      <c r="N21" s="77">
        <f t="shared" si="2"/>
        <v>796218.84</v>
      </c>
    </row>
    <row r="22" spans="1:14">
      <c r="A22" s="4" t="s">
        <v>379</v>
      </c>
      <c r="B22" s="295">
        <v>68156.67</v>
      </c>
      <c r="C22" s="295">
        <v>105646.86</v>
      </c>
      <c r="D22" s="295">
        <v>101187.56</v>
      </c>
      <c r="E22" s="295">
        <v>98557.74</v>
      </c>
      <c r="F22" s="295">
        <v>67070</v>
      </c>
      <c r="G22" s="295">
        <v>75397.7</v>
      </c>
      <c r="H22" s="295">
        <v>75465.64</v>
      </c>
      <c r="I22" s="295">
        <v>70186.36</v>
      </c>
      <c r="J22" s="295">
        <v>78862.78</v>
      </c>
      <c r="K22" s="295">
        <v>70351.45</v>
      </c>
      <c r="L22" s="295">
        <v>69667.75</v>
      </c>
      <c r="M22" s="295">
        <v>66479.77</v>
      </c>
      <c r="N22" s="295">
        <f t="shared" si="2"/>
        <v>947030.27999999991</v>
      </c>
    </row>
    <row r="23" spans="1:14">
      <c r="A23" s="4" t="s">
        <v>422</v>
      </c>
      <c r="B23" s="295">
        <v>59417.35</v>
      </c>
      <c r="C23" s="295">
        <v>97080</v>
      </c>
      <c r="D23" s="295">
        <v>77542</v>
      </c>
      <c r="E23" s="295">
        <v>87056</v>
      </c>
      <c r="F23" s="295">
        <v>78767</v>
      </c>
      <c r="G23" s="295">
        <v>75774</v>
      </c>
      <c r="H23" s="295">
        <v>82198</v>
      </c>
      <c r="I23" s="295">
        <v>74977</v>
      </c>
      <c r="J23" s="295">
        <v>75174</v>
      </c>
      <c r="K23" s="295">
        <v>70736</v>
      </c>
      <c r="L23" s="295">
        <v>17706</v>
      </c>
      <c r="M23" s="295">
        <v>56972</v>
      </c>
      <c r="N23" s="295">
        <f t="shared" si="2"/>
        <v>853399.35</v>
      </c>
    </row>
    <row r="24" spans="1:14">
      <c r="A24" s="359" t="s">
        <v>461</v>
      </c>
      <c r="B24" s="295">
        <v>77516.94</v>
      </c>
      <c r="C24" s="295">
        <v>92420.2</v>
      </c>
      <c r="D24" s="295">
        <v>84141.52</v>
      </c>
      <c r="E24" s="295">
        <v>83194.55</v>
      </c>
      <c r="F24" s="295">
        <v>72091.97</v>
      </c>
      <c r="G24" s="295">
        <v>70693.149999999994</v>
      </c>
      <c r="H24" s="295">
        <v>77058</v>
      </c>
      <c r="I24" s="295">
        <v>71415</v>
      </c>
      <c r="J24" s="295">
        <v>69530</v>
      </c>
      <c r="K24" s="295">
        <v>68396</v>
      </c>
      <c r="L24" s="295">
        <v>70953</v>
      </c>
      <c r="M24" s="295">
        <v>70724</v>
      </c>
      <c r="N24" s="295">
        <f t="shared" si="2"/>
        <v>908134.33000000007</v>
      </c>
    </row>
    <row r="25" spans="1:14">
      <c r="A25" s="359" t="s">
        <v>499</v>
      </c>
      <c r="B25" s="295">
        <v>74721</v>
      </c>
      <c r="C25" s="295">
        <v>95764</v>
      </c>
      <c r="D25" s="295">
        <v>84510</v>
      </c>
      <c r="E25" s="295">
        <v>89771</v>
      </c>
      <c r="F25" s="295">
        <v>76422</v>
      </c>
      <c r="G25" s="295">
        <v>62656</v>
      </c>
      <c r="H25" s="295">
        <v>77041</v>
      </c>
      <c r="I25" s="295">
        <v>69266</v>
      </c>
      <c r="J25" s="295">
        <v>71502</v>
      </c>
      <c r="K25" s="295">
        <v>68952</v>
      </c>
      <c r="L25" s="295">
        <v>69512</v>
      </c>
      <c r="M25" s="295">
        <v>63859</v>
      </c>
      <c r="N25" s="295">
        <f t="shared" si="2"/>
        <v>903976</v>
      </c>
    </row>
    <row r="26" spans="1:14">
      <c r="A26" s="359" t="s">
        <v>534</v>
      </c>
      <c r="B26" s="295">
        <v>81110</v>
      </c>
      <c r="C26" s="295">
        <v>102382</v>
      </c>
      <c r="D26" s="295">
        <v>80428</v>
      </c>
      <c r="E26" s="295">
        <v>91329</v>
      </c>
      <c r="F26" s="295">
        <v>78146</v>
      </c>
      <c r="G26" s="295">
        <v>75530</v>
      </c>
      <c r="H26" s="295">
        <v>77403</v>
      </c>
      <c r="I26" s="295">
        <v>73147</v>
      </c>
      <c r="J26" s="295">
        <v>83128</v>
      </c>
      <c r="K26" s="295">
        <v>75667</v>
      </c>
      <c r="L26" s="295">
        <v>79992</v>
      </c>
      <c r="M26" s="295">
        <v>81537</v>
      </c>
      <c r="N26" s="295">
        <f t="shared" si="2"/>
        <v>979799</v>
      </c>
    </row>
    <row r="27" spans="1:14" ht="13.5" thickBot="1">
      <c r="A27" s="27" t="s">
        <v>317</v>
      </c>
      <c r="B27" s="26">
        <f>SUM(B22:B26)/5</f>
        <v>72184.391999999993</v>
      </c>
      <c r="C27" s="26">
        <f t="shared" ref="C27:N27" si="3">SUM(C22:C26)/5</f>
        <v>98658.611999999994</v>
      </c>
      <c r="D27" s="26">
        <f t="shared" si="3"/>
        <v>85561.816000000006</v>
      </c>
      <c r="E27" s="26">
        <f t="shared" si="3"/>
        <v>89981.657999999996</v>
      </c>
      <c r="F27" s="26">
        <f t="shared" si="3"/>
        <v>74499.394</v>
      </c>
      <c r="G27" s="26">
        <f t="shared" si="3"/>
        <v>72010.17</v>
      </c>
      <c r="H27" s="26">
        <f t="shared" si="3"/>
        <v>77833.127999999997</v>
      </c>
      <c r="I27" s="26">
        <f t="shared" si="3"/>
        <v>71798.271999999997</v>
      </c>
      <c r="J27" s="26">
        <f t="shared" si="3"/>
        <v>75639.356</v>
      </c>
      <c r="K27" s="26">
        <f t="shared" si="3"/>
        <v>70820.490000000005</v>
      </c>
      <c r="L27" s="26">
        <f t="shared" si="3"/>
        <v>61566.15</v>
      </c>
      <c r="M27" s="26">
        <f t="shared" si="3"/>
        <v>67914.354000000007</v>
      </c>
      <c r="N27" s="26">
        <f t="shared" si="3"/>
        <v>918467.79200000002</v>
      </c>
    </row>
    <row r="28" spans="1:14" ht="13.5" thickTop="1"/>
    <row r="29" spans="1:14">
      <c r="A29" s="4" t="s">
        <v>423</v>
      </c>
    </row>
  </sheetData>
  <phoneticPr fontId="0" type="noConversion"/>
  <printOptions gridLines="1" gridLinesSet="0"/>
  <pageMargins left="0.75" right="0.75" top="1" bottom="1" header="0.5" footer="0.5"/>
  <pageSetup paperSize="17" orientation="landscape" r:id="rId1"/>
  <headerFooter alignWithMargins="0">
    <oddHeader>&amp;A</oddHeader>
    <oddFooter>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6"/>
  <dimension ref="A1:N31"/>
  <sheetViews>
    <sheetView zoomScale="75" workbookViewId="0">
      <pane xSplit="1" ySplit="2" topLeftCell="B3" activePane="bottomRight" state="frozen"/>
      <selection pane="topRight" activeCell="B1" sqref="B1"/>
      <selection pane="bottomLeft" activeCell="A3" sqref="A3"/>
      <selection pane="bottomRight" sqref="A1:A2"/>
    </sheetView>
  </sheetViews>
  <sheetFormatPr defaultRowHeight="12.75"/>
  <cols>
    <col min="1" max="1" width="21" customWidth="1"/>
    <col min="2" max="13" width="8.7109375" customWidth="1"/>
    <col min="14" max="14" width="10.42578125" customWidth="1"/>
  </cols>
  <sheetData>
    <row r="1" spans="1:14">
      <c r="A1" s="599" t="s">
        <v>363</v>
      </c>
      <c r="B1" s="533"/>
      <c r="C1" s="533"/>
      <c r="D1" s="533"/>
      <c r="E1" s="533"/>
      <c r="F1" s="533"/>
      <c r="G1" s="533"/>
      <c r="H1" s="533"/>
      <c r="I1" s="533"/>
      <c r="J1" s="533"/>
      <c r="K1" s="533"/>
      <c r="L1" s="533"/>
      <c r="M1" s="533"/>
      <c r="N1" s="533"/>
    </row>
    <row r="2" spans="1:14">
      <c r="A2" s="600"/>
      <c r="B2" s="402" t="s">
        <v>0</v>
      </c>
      <c r="C2" s="402" t="s">
        <v>54</v>
      </c>
      <c r="D2" s="402" t="s">
        <v>2</v>
      </c>
      <c r="E2" s="402" t="s">
        <v>409</v>
      </c>
      <c r="F2" s="402" t="s">
        <v>4</v>
      </c>
      <c r="G2" s="402" t="s">
        <v>5</v>
      </c>
      <c r="H2" s="402" t="s">
        <v>6</v>
      </c>
      <c r="I2" s="402" t="s">
        <v>7</v>
      </c>
      <c r="J2" s="402" t="s">
        <v>8</v>
      </c>
      <c r="K2" s="402" t="s">
        <v>9</v>
      </c>
      <c r="L2" s="402" t="s">
        <v>10</v>
      </c>
      <c r="M2" s="402" t="s">
        <v>11</v>
      </c>
      <c r="N2" s="442" t="s">
        <v>30</v>
      </c>
    </row>
    <row r="3" spans="1:14">
      <c r="A3" s="534" t="s">
        <v>31</v>
      </c>
      <c r="B3" s="535">
        <v>1940</v>
      </c>
      <c r="C3" s="535">
        <v>1940</v>
      </c>
      <c r="D3" s="535">
        <v>2040</v>
      </c>
      <c r="E3" s="535">
        <v>2112</v>
      </c>
      <c r="F3" s="535">
        <v>1800</v>
      </c>
      <c r="G3" s="535">
        <v>1704</v>
      </c>
      <c r="H3" s="535">
        <v>1704</v>
      </c>
      <c r="I3" s="535">
        <v>1704</v>
      </c>
      <c r="J3" s="535">
        <v>1656</v>
      </c>
      <c r="K3" s="535">
        <v>1704</v>
      </c>
      <c r="L3" s="535">
        <v>1704</v>
      </c>
      <c r="M3" s="535">
        <v>2112</v>
      </c>
      <c r="N3" s="535">
        <f>SUM(B3:M3)</f>
        <v>22120</v>
      </c>
    </row>
    <row r="4" spans="1:14">
      <c r="A4" s="536" t="s">
        <v>32</v>
      </c>
      <c r="B4" s="535">
        <v>1968</v>
      </c>
      <c r="C4" s="535">
        <v>1920</v>
      </c>
      <c r="D4" s="535">
        <v>1968</v>
      </c>
      <c r="E4" s="535">
        <v>2112</v>
      </c>
      <c r="F4" s="535">
        <v>2040</v>
      </c>
      <c r="G4" s="535">
        <v>1824</v>
      </c>
      <c r="H4" s="535">
        <v>1800</v>
      </c>
      <c r="I4" s="535">
        <v>1704</v>
      </c>
      <c r="J4" s="535">
        <v>1776</v>
      </c>
      <c r="K4" s="535">
        <v>1752</v>
      </c>
      <c r="L4" s="535">
        <v>1776</v>
      </c>
      <c r="M4" s="535">
        <v>1992</v>
      </c>
      <c r="N4" s="535">
        <f t="shared" ref="N4:N13" si="0">SUM(B4:M4)</f>
        <v>22632</v>
      </c>
    </row>
    <row r="5" spans="1:14">
      <c r="A5" s="534" t="s">
        <v>33</v>
      </c>
      <c r="B5" s="535">
        <v>1968</v>
      </c>
      <c r="C5" s="535">
        <v>1944</v>
      </c>
      <c r="D5" s="535">
        <v>2112</v>
      </c>
      <c r="E5" s="535">
        <v>1920</v>
      </c>
      <c r="F5" s="535">
        <v>1920</v>
      </c>
      <c r="G5" s="535">
        <v>1752</v>
      </c>
      <c r="H5" s="535">
        <v>1752</v>
      </c>
      <c r="I5" s="535">
        <v>1752</v>
      </c>
      <c r="J5" s="535">
        <v>1872</v>
      </c>
      <c r="K5" s="535">
        <v>1776</v>
      </c>
      <c r="L5" s="535">
        <v>1776</v>
      </c>
      <c r="M5" s="535">
        <v>1944</v>
      </c>
      <c r="N5" s="535">
        <f t="shared" si="0"/>
        <v>22488</v>
      </c>
    </row>
    <row r="6" spans="1:14">
      <c r="A6" s="534" t="s">
        <v>35</v>
      </c>
      <c r="B6" s="535">
        <v>1992</v>
      </c>
      <c r="C6" s="535">
        <v>2088</v>
      </c>
      <c r="D6" s="535">
        <v>2088</v>
      </c>
      <c r="E6" s="535">
        <v>1992</v>
      </c>
      <c r="F6" s="535">
        <v>1608</v>
      </c>
      <c r="G6" s="535">
        <v>1776</v>
      </c>
      <c r="H6" s="535">
        <v>1776</v>
      </c>
      <c r="I6" s="535">
        <v>1776</v>
      </c>
      <c r="J6" s="535">
        <v>1776</v>
      </c>
      <c r="K6" s="535">
        <v>1920</v>
      </c>
      <c r="L6" s="535">
        <v>1920</v>
      </c>
      <c r="M6" s="535">
        <v>1992</v>
      </c>
      <c r="N6" s="535">
        <f t="shared" si="0"/>
        <v>22704</v>
      </c>
    </row>
    <row r="7" spans="1:14">
      <c r="A7" s="534" t="s">
        <v>36</v>
      </c>
      <c r="B7" s="535">
        <v>2064</v>
      </c>
      <c r="C7" s="535">
        <v>2136</v>
      </c>
      <c r="D7" s="535">
        <v>2184</v>
      </c>
      <c r="E7" s="535">
        <v>2280</v>
      </c>
      <c r="F7" s="535">
        <v>1968</v>
      </c>
      <c r="G7" s="535">
        <v>2112</v>
      </c>
      <c r="H7" s="535">
        <v>1968</v>
      </c>
      <c r="I7" s="535">
        <v>1968</v>
      </c>
      <c r="J7" s="535">
        <v>1896</v>
      </c>
      <c r="K7" s="535">
        <v>1920</v>
      </c>
      <c r="L7" s="535">
        <v>2256</v>
      </c>
      <c r="M7" s="535">
        <v>1896</v>
      </c>
      <c r="N7" s="535">
        <f t="shared" si="0"/>
        <v>24648</v>
      </c>
    </row>
    <row r="8" spans="1:14">
      <c r="A8" s="534" t="s">
        <v>37</v>
      </c>
      <c r="B8" s="535">
        <v>2232</v>
      </c>
      <c r="C8" s="535">
        <v>2280</v>
      </c>
      <c r="D8" s="535">
        <v>2040</v>
      </c>
      <c r="E8" s="535">
        <v>2592</v>
      </c>
      <c r="F8" s="535">
        <v>2592</v>
      </c>
      <c r="G8" s="535">
        <v>2256</v>
      </c>
      <c r="H8" s="535">
        <v>2040</v>
      </c>
      <c r="I8" s="535">
        <v>1872</v>
      </c>
      <c r="J8" s="535">
        <v>1992</v>
      </c>
      <c r="K8" s="535">
        <v>2016</v>
      </c>
      <c r="L8" s="535">
        <v>2208</v>
      </c>
      <c r="M8" s="535">
        <v>2328</v>
      </c>
      <c r="N8" s="535">
        <f t="shared" si="0"/>
        <v>26448</v>
      </c>
    </row>
    <row r="9" spans="1:14">
      <c r="A9" s="534" t="s">
        <v>38</v>
      </c>
      <c r="B9" s="535">
        <v>2376</v>
      </c>
      <c r="C9" s="535">
        <v>2208</v>
      </c>
      <c r="D9" s="535">
        <v>2280</v>
      </c>
      <c r="E9" s="535">
        <v>2448</v>
      </c>
      <c r="F9" s="535">
        <v>2208</v>
      </c>
      <c r="G9" s="535">
        <v>2208</v>
      </c>
      <c r="H9" s="535">
        <v>1920</v>
      </c>
      <c r="I9" s="535">
        <v>1824</v>
      </c>
      <c r="J9" s="535">
        <v>2040</v>
      </c>
      <c r="K9" s="535">
        <v>2016</v>
      </c>
      <c r="L9" s="535">
        <v>2256</v>
      </c>
      <c r="M9" s="535">
        <v>2328</v>
      </c>
      <c r="N9" s="535">
        <f t="shared" si="0"/>
        <v>26112</v>
      </c>
    </row>
    <row r="10" spans="1:14">
      <c r="A10" s="534" t="s">
        <v>153</v>
      </c>
      <c r="B10" s="535"/>
      <c r="C10" s="535"/>
      <c r="D10" s="535"/>
      <c r="E10" s="535"/>
      <c r="F10" s="535"/>
      <c r="G10" s="535"/>
      <c r="H10" s="535"/>
      <c r="I10" s="535"/>
      <c r="J10" s="535"/>
      <c r="K10" s="535"/>
      <c r="L10" s="535"/>
      <c r="M10" s="535"/>
      <c r="N10" s="535"/>
    </row>
    <row r="11" spans="1:14">
      <c r="A11" s="537" t="s">
        <v>154</v>
      </c>
      <c r="B11" s="538"/>
      <c r="C11" s="538"/>
      <c r="D11" s="538"/>
      <c r="E11" s="538"/>
      <c r="F11" s="538"/>
      <c r="G11" s="538"/>
      <c r="H11" s="538"/>
      <c r="I11" s="538"/>
      <c r="J11" s="538"/>
      <c r="K11" s="538"/>
      <c r="L11" s="538"/>
      <c r="M11" s="538"/>
      <c r="N11" s="539"/>
    </row>
    <row r="12" spans="1:14" s="346" customFormat="1">
      <c r="A12" s="540" t="s">
        <v>155</v>
      </c>
      <c r="B12" s="535">
        <v>2230</v>
      </c>
      <c r="C12" s="535">
        <v>2230</v>
      </c>
      <c r="D12" s="535">
        <v>2230</v>
      </c>
      <c r="E12" s="535">
        <v>2230</v>
      </c>
      <c r="F12" s="535">
        <v>2001</v>
      </c>
      <c r="G12" s="535">
        <v>2136</v>
      </c>
      <c r="H12" s="535">
        <v>2105</v>
      </c>
      <c r="I12" s="535">
        <v>2093</v>
      </c>
      <c r="J12" s="535">
        <v>2133</v>
      </c>
      <c r="K12" s="535">
        <v>2081</v>
      </c>
      <c r="L12" s="535">
        <v>2500</v>
      </c>
      <c r="M12" s="535">
        <v>1970</v>
      </c>
      <c r="N12" s="535">
        <f t="shared" si="0"/>
        <v>25939</v>
      </c>
    </row>
    <row r="13" spans="1:14" s="296" customFormat="1">
      <c r="A13" s="541" t="s">
        <v>177</v>
      </c>
      <c r="B13" s="542">
        <v>2711</v>
      </c>
      <c r="C13" s="542">
        <v>2653</v>
      </c>
      <c r="D13" s="542">
        <v>2330</v>
      </c>
      <c r="E13" s="542">
        <v>2778</v>
      </c>
      <c r="F13" s="542">
        <v>2477</v>
      </c>
      <c r="G13" s="542">
        <v>2136</v>
      </c>
      <c r="H13" s="542">
        <v>2208</v>
      </c>
      <c r="I13" s="542">
        <v>2112</v>
      </c>
      <c r="J13" s="542">
        <v>2196</v>
      </c>
      <c r="K13" s="542">
        <v>2134</v>
      </c>
      <c r="L13" s="542">
        <v>2712</v>
      </c>
      <c r="M13" s="542">
        <v>2292</v>
      </c>
      <c r="N13" s="535">
        <f t="shared" si="0"/>
        <v>28739</v>
      </c>
    </row>
    <row r="14" spans="1:14" s="296" customFormat="1">
      <c r="A14" s="541" t="s">
        <v>278</v>
      </c>
      <c r="B14" s="542">
        <v>2429</v>
      </c>
      <c r="C14" s="542">
        <v>2526</v>
      </c>
      <c r="D14" s="542">
        <v>2626</v>
      </c>
      <c r="E14" s="542">
        <v>2759</v>
      </c>
      <c r="F14" s="542">
        <v>2833</v>
      </c>
      <c r="G14" s="542">
        <v>2208</v>
      </c>
      <c r="H14" s="542">
        <v>2112</v>
      </c>
      <c r="I14" s="542">
        <v>2136</v>
      </c>
      <c r="J14" s="542">
        <v>2127</v>
      </c>
      <c r="K14" s="542">
        <v>2098</v>
      </c>
      <c r="L14" s="542">
        <v>2237</v>
      </c>
      <c r="M14" s="542">
        <v>2189</v>
      </c>
      <c r="N14" s="535">
        <f t="shared" ref="N14:N19" si="1">SUM(B14:M14)</f>
        <v>28280</v>
      </c>
    </row>
    <row r="15" spans="1:14" s="296" customFormat="1">
      <c r="A15" s="541" t="s">
        <v>287</v>
      </c>
      <c r="B15" s="542">
        <v>2228</v>
      </c>
      <c r="C15" s="542">
        <v>2298</v>
      </c>
      <c r="D15" s="542">
        <v>2077</v>
      </c>
      <c r="E15" s="542">
        <v>2494</v>
      </c>
      <c r="F15" s="542">
        <v>2624</v>
      </c>
      <c r="G15" s="542">
        <v>2133</v>
      </c>
      <c r="H15" s="542">
        <v>2092</v>
      </c>
      <c r="I15" s="542">
        <v>1937</v>
      </c>
      <c r="J15" s="542">
        <v>2349</v>
      </c>
      <c r="K15" s="542">
        <v>2161</v>
      </c>
      <c r="L15" s="542">
        <v>2500</v>
      </c>
      <c r="M15" s="542">
        <v>2340</v>
      </c>
      <c r="N15" s="542">
        <f t="shared" si="1"/>
        <v>27233</v>
      </c>
    </row>
    <row r="16" spans="1:14" s="296" customFormat="1">
      <c r="A16" s="541" t="s">
        <v>295</v>
      </c>
      <c r="B16" s="542">
        <v>2500</v>
      </c>
      <c r="C16" s="542">
        <v>2500</v>
      </c>
      <c r="D16" s="542">
        <v>2500</v>
      </c>
      <c r="E16" s="542">
        <v>2393</v>
      </c>
      <c r="F16" s="542">
        <v>2439</v>
      </c>
      <c r="G16" s="542">
        <v>2163</v>
      </c>
      <c r="H16" s="542">
        <v>2141</v>
      </c>
      <c r="I16" s="542">
        <v>2009</v>
      </c>
      <c r="J16" s="542">
        <v>2103</v>
      </c>
      <c r="K16" s="542">
        <v>2088</v>
      </c>
      <c r="L16" s="542">
        <v>2339</v>
      </c>
      <c r="M16" s="542">
        <v>1992</v>
      </c>
      <c r="N16" s="542">
        <f t="shared" si="1"/>
        <v>27167</v>
      </c>
    </row>
    <row r="17" spans="1:14" s="296" customFormat="1">
      <c r="A17" s="541" t="s">
        <v>320</v>
      </c>
      <c r="B17" s="542">
        <v>2280</v>
      </c>
      <c r="C17" s="542">
        <v>3024</v>
      </c>
      <c r="D17" s="542">
        <v>2568</v>
      </c>
      <c r="E17" s="542">
        <v>2232</v>
      </c>
      <c r="F17" s="542">
        <v>2520</v>
      </c>
      <c r="G17" s="542">
        <v>2400</v>
      </c>
      <c r="H17" s="542">
        <v>2016</v>
      </c>
      <c r="I17" s="542">
        <v>1752</v>
      </c>
      <c r="J17" s="542">
        <v>1920</v>
      </c>
      <c r="K17" s="542">
        <v>1800</v>
      </c>
      <c r="L17" s="542">
        <v>1752</v>
      </c>
      <c r="M17" s="542">
        <v>1751</v>
      </c>
      <c r="N17" s="542">
        <f t="shared" si="1"/>
        <v>26015</v>
      </c>
    </row>
    <row r="18" spans="1:14" s="296" customFormat="1">
      <c r="A18" s="541" t="s">
        <v>360</v>
      </c>
      <c r="B18" s="542">
        <v>1941</v>
      </c>
      <c r="C18" s="542">
        <v>2308</v>
      </c>
      <c r="D18" s="542">
        <v>2352</v>
      </c>
      <c r="E18" s="542">
        <v>1776</v>
      </c>
      <c r="F18" s="542">
        <v>1571</v>
      </c>
      <c r="G18" s="542">
        <v>1939</v>
      </c>
      <c r="H18" s="542">
        <v>1809</v>
      </c>
      <c r="I18" s="542">
        <v>1633</v>
      </c>
      <c r="J18" s="542">
        <v>1739</v>
      </c>
      <c r="K18" s="542">
        <v>1851</v>
      </c>
      <c r="L18" s="542">
        <v>1823</v>
      </c>
      <c r="M18" s="542">
        <v>1764</v>
      </c>
      <c r="N18" s="542">
        <f t="shared" si="1"/>
        <v>22506</v>
      </c>
    </row>
    <row r="19" spans="1:14" s="296" customFormat="1">
      <c r="A19" s="541" t="s">
        <v>373</v>
      </c>
      <c r="B19" s="542">
        <v>1980</v>
      </c>
      <c r="C19" s="542">
        <v>2681</v>
      </c>
      <c r="D19" s="542">
        <v>2717</v>
      </c>
      <c r="E19" s="542">
        <v>2587</v>
      </c>
      <c r="F19" s="542">
        <v>2247</v>
      </c>
      <c r="G19" s="542">
        <v>2163</v>
      </c>
      <c r="H19" s="542">
        <v>1890</v>
      </c>
      <c r="I19" s="542">
        <v>1953</v>
      </c>
      <c r="J19" s="542">
        <v>1974</v>
      </c>
      <c r="K19" s="542">
        <v>1911</v>
      </c>
      <c r="L19" s="542">
        <v>1981</v>
      </c>
      <c r="M19" s="542">
        <v>2151</v>
      </c>
      <c r="N19" s="542">
        <f t="shared" si="1"/>
        <v>26235</v>
      </c>
    </row>
    <row r="20" spans="1:14" s="296" customFormat="1">
      <c r="A20" s="543" t="s">
        <v>394</v>
      </c>
      <c r="B20" s="544">
        <v>0</v>
      </c>
      <c r="C20" s="544">
        <v>942.94</v>
      </c>
      <c r="D20" s="544">
        <v>427</v>
      </c>
      <c r="E20" s="544">
        <v>501</v>
      </c>
      <c r="F20" s="544">
        <v>367</v>
      </c>
      <c r="G20" s="544">
        <v>126</v>
      </c>
      <c r="H20" s="544">
        <v>112</v>
      </c>
      <c r="I20" s="545">
        <v>131</v>
      </c>
      <c r="J20" s="545">
        <v>116</v>
      </c>
      <c r="K20" s="545">
        <v>135</v>
      </c>
      <c r="L20" s="545">
        <v>163</v>
      </c>
      <c r="M20" s="546">
        <v>478</v>
      </c>
      <c r="N20" s="547">
        <f t="shared" ref="N20:N27" si="2">SUM(B20:M20)</f>
        <v>3498.94</v>
      </c>
    </row>
    <row r="21" spans="1:14" s="296" customFormat="1">
      <c r="A21" s="543" t="s">
        <v>395</v>
      </c>
      <c r="B21" s="545">
        <v>1711</v>
      </c>
      <c r="C21" s="545">
        <v>1627</v>
      </c>
      <c r="D21" s="545">
        <v>1617</v>
      </c>
      <c r="E21" s="545">
        <v>1855</v>
      </c>
      <c r="F21" s="545">
        <v>2058</v>
      </c>
      <c r="G21" s="545">
        <v>1974</v>
      </c>
      <c r="H21" s="545">
        <v>1932</v>
      </c>
      <c r="I21" s="545">
        <v>1911</v>
      </c>
      <c r="J21" s="545">
        <v>1953</v>
      </c>
      <c r="K21" s="545">
        <v>1890</v>
      </c>
      <c r="L21" s="545">
        <v>1995</v>
      </c>
      <c r="M21" s="545">
        <v>1906</v>
      </c>
      <c r="N21" s="545">
        <f t="shared" si="2"/>
        <v>22429</v>
      </c>
    </row>
    <row r="22" spans="1:14" s="296" customFormat="1">
      <c r="A22" s="548" t="s">
        <v>440</v>
      </c>
      <c r="B22" s="544">
        <v>842</v>
      </c>
      <c r="C22" s="544">
        <v>1052</v>
      </c>
      <c r="D22" s="544">
        <v>963</v>
      </c>
      <c r="E22" s="544">
        <v>949</v>
      </c>
      <c r="F22" s="544">
        <v>490</v>
      </c>
      <c r="G22" s="544">
        <v>98</v>
      </c>
      <c r="H22" s="544">
        <v>86</v>
      </c>
      <c r="I22" s="544">
        <v>59</v>
      </c>
      <c r="J22" s="546">
        <v>64</v>
      </c>
      <c r="K22" s="546">
        <v>62</v>
      </c>
      <c r="L22" s="546">
        <v>105</v>
      </c>
      <c r="M22" s="546">
        <v>722</v>
      </c>
      <c r="N22" s="546">
        <f t="shared" si="2"/>
        <v>5492</v>
      </c>
    </row>
    <row r="23" spans="1:14" s="296" customFormat="1">
      <c r="A23" s="548" t="s">
        <v>441</v>
      </c>
      <c r="B23" s="544">
        <v>1626</v>
      </c>
      <c r="C23" s="544">
        <v>1654</v>
      </c>
      <c r="D23" s="544">
        <v>1572</v>
      </c>
      <c r="E23" s="544">
        <v>1869</v>
      </c>
      <c r="F23" s="544">
        <v>1974</v>
      </c>
      <c r="G23" s="544">
        <v>2058</v>
      </c>
      <c r="H23" s="544">
        <v>1995</v>
      </c>
      <c r="I23" s="544">
        <v>1869</v>
      </c>
      <c r="J23" s="546">
        <v>1932</v>
      </c>
      <c r="K23" s="546">
        <v>1806</v>
      </c>
      <c r="L23" s="546">
        <v>1764</v>
      </c>
      <c r="M23" s="546">
        <v>1701</v>
      </c>
      <c r="N23" s="546">
        <f t="shared" si="2"/>
        <v>21820</v>
      </c>
    </row>
    <row r="24" spans="1:14" s="296" customFormat="1">
      <c r="A24" s="548" t="s">
        <v>487</v>
      </c>
      <c r="B24" s="544">
        <v>1059</v>
      </c>
      <c r="C24" s="544">
        <v>1713</v>
      </c>
      <c r="D24" s="544">
        <v>1094</v>
      </c>
      <c r="E24" s="544">
        <v>1109</v>
      </c>
      <c r="F24" s="544">
        <v>857</v>
      </c>
      <c r="G24" s="544">
        <v>290</v>
      </c>
      <c r="H24" s="544">
        <v>204</v>
      </c>
      <c r="I24" s="544">
        <v>176</v>
      </c>
      <c r="J24" s="544">
        <v>98</v>
      </c>
      <c r="K24" s="544">
        <v>116</v>
      </c>
      <c r="L24" s="544">
        <v>89</v>
      </c>
      <c r="M24" s="544">
        <v>857</v>
      </c>
      <c r="N24" s="546">
        <f t="shared" si="2"/>
        <v>7662</v>
      </c>
    </row>
    <row r="25" spans="1:14" s="296" customFormat="1">
      <c r="A25" s="548" t="s">
        <v>488</v>
      </c>
      <c r="B25" s="544">
        <v>1245</v>
      </c>
      <c r="C25" s="544">
        <v>1393</v>
      </c>
      <c r="D25" s="544">
        <v>1231</v>
      </c>
      <c r="E25" s="544">
        <v>1575</v>
      </c>
      <c r="F25" s="544">
        <v>1764</v>
      </c>
      <c r="G25" s="544">
        <v>1827</v>
      </c>
      <c r="H25" s="544">
        <v>1827</v>
      </c>
      <c r="I25" s="544">
        <v>1785</v>
      </c>
      <c r="J25" s="544">
        <v>1848</v>
      </c>
      <c r="K25" s="544">
        <v>1848</v>
      </c>
      <c r="L25" s="544">
        <v>1827</v>
      </c>
      <c r="M25" s="544">
        <v>1688</v>
      </c>
      <c r="N25" s="546">
        <f t="shared" si="2"/>
        <v>19858</v>
      </c>
    </row>
    <row r="26" spans="1:14" s="296" customFormat="1">
      <c r="A26" s="548" t="s">
        <v>505</v>
      </c>
      <c r="B26" s="544">
        <v>1054</v>
      </c>
      <c r="C26" s="544">
        <v>1136</v>
      </c>
      <c r="D26" s="544">
        <v>1091</v>
      </c>
      <c r="E26" s="544">
        <v>648</v>
      </c>
      <c r="F26" s="544">
        <v>535</v>
      </c>
      <c r="G26" s="549">
        <v>76</v>
      </c>
      <c r="H26" s="549">
        <v>68</v>
      </c>
      <c r="I26" s="549">
        <v>80</v>
      </c>
      <c r="J26" s="549">
        <v>60</v>
      </c>
      <c r="K26" s="549">
        <v>75</v>
      </c>
      <c r="L26" s="549">
        <v>66</v>
      </c>
      <c r="M26" s="549">
        <v>488</v>
      </c>
      <c r="N26" s="546">
        <f t="shared" si="2"/>
        <v>5377</v>
      </c>
    </row>
    <row r="27" spans="1:14" s="296" customFormat="1">
      <c r="A27" s="548" t="s">
        <v>506</v>
      </c>
      <c r="B27" s="544">
        <v>1578</v>
      </c>
      <c r="C27" s="544">
        <v>1722</v>
      </c>
      <c r="D27" s="544">
        <v>1497</v>
      </c>
      <c r="E27" s="544">
        <v>1743</v>
      </c>
      <c r="F27" s="544">
        <v>1911</v>
      </c>
      <c r="G27" s="549">
        <v>1890</v>
      </c>
      <c r="H27" s="549">
        <v>1848</v>
      </c>
      <c r="I27" s="549">
        <v>1764</v>
      </c>
      <c r="J27" s="549">
        <v>1932</v>
      </c>
      <c r="K27" s="549">
        <v>1827</v>
      </c>
      <c r="L27" s="549">
        <v>1911</v>
      </c>
      <c r="M27" s="549">
        <v>1890</v>
      </c>
      <c r="N27" s="546">
        <f t="shared" si="2"/>
        <v>21513</v>
      </c>
    </row>
    <row r="28" spans="1:14" ht="26.25" thickBot="1">
      <c r="A28" s="403" t="s">
        <v>507</v>
      </c>
      <c r="B28" s="550">
        <f>SUM(B25+B21+B23+B27)/4</f>
        <v>1540</v>
      </c>
      <c r="C28" s="550">
        <f t="shared" ref="C28:N28" si="3">SUM(C25+C21+C23+C27)/4</f>
        <v>1599</v>
      </c>
      <c r="D28" s="550">
        <f t="shared" si="3"/>
        <v>1479.25</v>
      </c>
      <c r="E28" s="550">
        <f t="shared" si="3"/>
        <v>1760.5</v>
      </c>
      <c r="F28" s="550">
        <f t="shared" si="3"/>
        <v>1926.75</v>
      </c>
      <c r="G28" s="550">
        <f t="shared" si="3"/>
        <v>1937.25</v>
      </c>
      <c r="H28" s="550">
        <f t="shared" si="3"/>
        <v>1900.5</v>
      </c>
      <c r="I28" s="550">
        <f t="shared" si="3"/>
        <v>1832.25</v>
      </c>
      <c r="J28" s="550">
        <f t="shared" si="3"/>
        <v>1916.25</v>
      </c>
      <c r="K28" s="550">
        <f t="shared" si="3"/>
        <v>1842.75</v>
      </c>
      <c r="L28" s="550">
        <f t="shared" si="3"/>
        <v>1874.25</v>
      </c>
      <c r="M28" s="550">
        <f t="shared" si="3"/>
        <v>1796.25</v>
      </c>
      <c r="N28" s="550">
        <f t="shared" si="3"/>
        <v>21405</v>
      </c>
    </row>
    <row r="29" spans="1:14">
      <c r="A29" s="90"/>
      <c r="B29" s="90"/>
      <c r="C29" s="90"/>
      <c r="D29" s="90"/>
      <c r="E29" s="90"/>
      <c r="F29" s="90"/>
      <c r="G29" s="90"/>
      <c r="H29" s="90"/>
      <c r="I29" s="90"/>
      <c r="J29" s="90"/>
      <c r="K29" s="90"/>
      <c r="L29" s="90"/>
      <c r="M29" s="90"/>
      <c r="N29" s="90"/>
    </row>
    <row r="30" spans="1:14" ht="26.25" thickBot="1">
      <c r="A30" s="403" t="s">
        <v>508</v>
      </c>
      <c r="B30" s="551">
        <f>SUM(B20+B22+B24+B26)/4</f>
        <v>738.75</v>
      </c>
      <c r="C30" s="551">
        <f t="shared" ref="C30:N30" si="4">SUM(C20+C22+C24+C26)/4</f>
        <v>1210.9850000000001</v>
      </c>
      <c r="D30" s="551">
        <f t="shared" si="4"/>
        <v>893.75</v>
      </c>
      <c r="E30" s="551">
        <f t="shared" si="4"/>
        <v>801.75</v>
      </c>
      <c r="F30" s="551">
        <f t="shared" si="4"/>
        <v>562.25</v>
      </c>
      <c r="G30" s="551">
        <f t="shared" si="4"/>
        <v>147.5</v>
      </c>
      <c r="H30" s="551">
        <f t="shared" si="4"/>
        <v>117.5</v>
      </c>
      <c r="I30" s="551">
        <f t="shared" si="4"/>
        <v>111.5</v>
      </c>
      <c r="J30" s="551">
        <f t="shared" si="4"/>
        <v>84.5</v>
      </c>
      <c r="K30" s="551">
        <f t="shared" si="4"/>
        <v>97</v>
      </c>
      <c r="L30" s="551">
        <f t="shared" si="4"/>
        <v>105.75</v>
      </c>
      <c r="M30" s="551">
        <f t="shared" si="4"/>
        <v>636.25</v>
      </c>
      <c r="N30" s="551">
        <f t="shared" si="4"/>
        <v>5507.4850000000006</v>
      </c>
    </row>
    <row r="31" spans="1:14">
      <c r="A31" s="90"/>
      <c r="B31" s="90"/>
      <c r="C31" s="90"/>
      <c r="D31" s="90"/>
      <c r="E31" s="90"/>
      <c r="F31" s="90"/>
      <c r="G31" s="90"/>
      <c r="H31" s="90"/>
      <c r="I31" s="90"/>
      <c r="J31" s="90"/>
      <c r="K31" s="90"/>
      <c r="L31" s="90"/>
      <c r="M31" s="90"/>
      <c r="N31" s="90"/>
    </row>
  </sheetData>
  <mergeCells count="1">
    <mergeCell ref="A1:A2"/>
  </mergeCells>
  <phoneticPr fontId="0" type="noConversion"/>
  <printOptions gridLines="1" gridLinesSet="0"/>
  <pageMargins left="0.25" right="0.25" top="1.25" bottom="0.5" header="0.3" footer="0.3"/>
  <pageSetup orientation="landscape" r:id="rId1"/>
  <headerFooter>
    <oddHeader>&amp;A</oddHeader>
    <oddFooter>Page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7"/>
  <dimension ref="A1:N39"/>
  <sheetViews>
    <sheetView topLeftCell="B1" zoomScale="75" workbookViewId="0">
      <selection activeCell="O26" sqref="O26"/>
    </sheetView>
  </sheetViews>
  <sheetFormatPr defaultRowHeight="12.75"/>
  <cols>
    <col min="1" max="1" width="26" style="70" customWidth="1"/>
    <col min="2" max="13" width="12" customWidth="1"/>
    <col min="14" max="14" width="12.7109375" customWidth="1"/>
  </cols>
  <sheetData>
    <row r="1" spans="1:14">
      <c r="A1" s="601" t="s">
        <v>410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13"/>
    </row>
    <row r="2" spans="1:14">
      <c r="A2" s="602"/>
      <c r="B2" s="406" t="s">
        <v>0</v>
      </c>
      <c r="C2" s="406" t="s">
        <v>54</v>
      </c>
      <c r="D2" s="406" t="s">
        <v>2</v>
      </c>
      <c r="E2" s="406" t="s">
        <v>409</v>
      </c>
      <c r="F2" s="406" t="s">
        <v>4</v>
      </c>
      <c r="G2" s="406" t="s">
        <v>5</v>
      </c>
      <c r="H2" s="406" t="s">
        <v>6</v>
      </c>
      <c r="I2" s="406" t="s">
        <v>7</v>
      </c>
      <c r="J2" s="406" t="s">
        <v>8</v>
      </c>
      <c r="K2" s="406" t="s">
        <v>9</v>
      </c>
      <c r="L2" s="406" t="s">
        <v>10</v>
      </c>
      <c r="M2" s="406" t="s">
        <v>11</v>
      </c>
      <c r="N2" s="407" t="s">
        <v>30</v>
      </c>
    </row>
    <row r="3" spans="1:14" s="346" customFormat="1">
      <c r="A3" s="194" t="s">
        <v>32</v>
      </c>
      <c r="B3" s="197">
        <v>15192.96</v>
      </c>
      <c r="C3" s="197">
        <v>14822.4</v>
      </c>
      <c r="D3" s="197">
        <v>15192.96</v>
      </c>
      <c r="E3" s="197">
        <v>11302.08</v>
      </c>
      <c r="F3" s="197">
        <v>10423.68</v>
      </c>
      <c r="G3" s="197">
        <v>9959.0400000000009</v>
      </c>
      <c r="H3" s="197">
        <v>9828</v>
      </c>
      <c r="I3" s="197">
        <v>9303.84</v>
      </c>
      <c r="J3" s="197">
        <v>9696.9599999999991</v>
      </c>
      <c r="K3" s="197">
        <v>9565.92</v>
      </c>
      <c r="L3" s="197">
        <v>9696.9599999999991</v>
      </c>
      <c r="M3" s="197">
        <v>10876.32</v>
      </c>
      <c r="N3" s="197">
        <f>SUM(B3:M3)</f>
        <v>135861.12</v>
      </c>
    </row>
    <row r="4" spans="1:14" s="346" customFormat="1">
      <c r="A4" s="194" t="s">
        <v>33</v>
      </c>
      <c r="B4" s="197">
        <v>15195.96</v>
      </c>
      <c r="C4" s="197">
        <v>14822.4</v>
      </c>
      <c r="D4" s="197">
        <v>16304.34</v>
      </c>
      <c r="E4" s="197">
        <v>12968.46</v>
      </c>
      <c r="F4" s="197">
        <v>12968.46</v>
      </c>
      <c r="G4" s="197">
        <v>9565.92</v>
      </c>
      <c r="H4" s="197">
        <v>9565.92</v>
      </c>
      <c r="I4" s="197">
        <v>9565.92</v>
      </c>
      <c r="J4" s="197">
        <v>10221.120000000001</v>
      </c>
      <c r="K4" s="197">
        <v>9696.9599999999991</v>
      </c>
      <c r="L4" s="197">
        <v>10052.16</v>
      </c>
      <c r="M4" s="197">
        <v>11003.04</v>
      </c>
      <c r="N4" s="197">
        <f t="shared" ref="N4:N13" si="0">SUM(B4:M4)</f>
        <v>141930.66</v>
      </c>
    </row>
    <row r="5" spans="1:14" s="346" customFormat="1">
      <c r="A5" s="195" t="s">
        <v>34</v>
      </c>
      <c r="B5" s="197">
        <v>16553.52</v>
      </c>
      <c r="C5" s="197">
        <v>19086.41</v>
      </c>
      <c r="D5" s="197">
        <v>17929.650000000001</v>
      </c>
      <c r="E5" s="197">
        <v>14404.55</v>
      </c>
      <c r="F5" s="197">
        <v>10019.17</v>
      </c>
      <c r="G5" s="197">
        <v>11003</v>
      </c>
      <c r="H5" s="197">
        <v>11369.81</v>
      </c>
      <c r="I5" s="197">
        <v>11369.81</v>
      </c>
      <c r="J5" s="197">
        <v>12669.7</v>
      </c>
      <c r="K5" s="197">
        <v>11229.44</v>
      </c>
      <c r="L5" s="197">
        <v>11740.28</v>
      </c>
      <c r="M5" s="197">
        <v>13838.76</v>
      </c>
      <c r="N5" s="197">
        <f t="shared" si="0"/>
        <v>161214.1</v>
      </c>
    </row>
    <row r="6" spans="1:14" s="346" customFormat="1">
      <c r="A6" s="195" t="s">
        <v>35</v>
      </c>
      <c r="B6" s="197">
        <v>16553</v>
      </c>
      <c r="C6" s="197">
        <v>19086</v>
      </c>
      <c r="D6" s="197">
        <v>17929</v>
      </c>
      <c r="E6" s="197">
        <v>14404</v>
      </c>
      <c r="F6" s="197">
        <v>10019</v>
      </c>
      <c r="G6" s="197">
        <v>11003</v>
      </c>
      <c r="H6" s="197">
        <v>11369</v>
      </c>
      <c r="I6" s="197">
        <v>11369</v>
      </c>
      <c r="J6" s="197">
        <v>12669</v>
      </c>
      <c r="K6" s="197">
        <v>11229</v>
      </c>
      <c r="L6" s="197">
        <v>11740</v>
      </c>
      <c r="M6" s="197">
        <v>13868</v>
      </c>
      <c r="N6" s="197">
        <f t="shared" si="0"/>
        <v>161238</v>
      </c>
    </row>
    <row r="7" spans="1:14" s="346" customFormat="1">
      <c r="A7" s="196" t="s">
        <v>36</v>
      </c>
      <c r="B7" s="197">
        <v>13721</v>
      </c>
      <c r="C7" s="197">
        <v>17158</v>
      </c>
      <c r="D7" s="197">
        <v>18149</v>
      </c>
      <c r="E7" s="197">
        <v>18947</v>
      </c>
      <c r="F7" s="197">
        <v>11138</v>
      </c>
      <c r="G7" s="197">
        <v>11954</v>
      </c>
      <c r="H7" s="197">
        <v>11510</v>
      </c>
      <c r="I7" s="197">
        <v>11510</v>
      </c>
      <c r="J7" s="197">
        <v>11320</v>
      </c>
      <c r="K7" s="197">
        <v>10867</v>
      </c>
      <c r="L7" s="197">
        <v>12769</v>
      </c>
      <c r="M7" s="197">
        <v>10731</v>
      </c>
      <c r="N7" s="197">
        <f t="shared" si="0"/>
        <v>159774</v>
      </c>
    </row>
    <row r="8" spans="1:14" s="346" customFormat="1">
      <c r="A8" s="196" t="s">
        <v>37</v>
      </c>
      <c r="B8" s="197">
        <v>18547</v>
      </c>
      <c r="C8" s="197">
        <v>18947</v>
      </c>
      <c r="D8" s="197">
        <v>16952</v>
      </c>
      <c r="E8" s="197">
        <v>21539</v>
      </c>
      <c r="F8" s="197">
        <v>14670</v>
      </c>
      <c r="G8" s="197">
        <v>12769</v>
      </c>
      <c r="H8" s="197">
        <v>11546</v>
      </c>
      <c r="I8" s="197">
        <v>10595</v>
      </c>
      <c r="J8" s="197">
        <v>11275</v>
      </c>
      <c r="K8" s="197">
        <v>11411</v>
      </c>
      <c r="L8" s="197">
        <v>12497</v>
      </c>
      <c r="M8" s="197">
        <v>13176</v>
      </c>
      <c r="N8" s="197">
        <f t="shared" si="0"/>
        <v>173924</v>
      </c>
    </row>
    <row r="9" spans="1:14" s="346" customFormat="1">
      <c r="A9" s="196" t="s">
        <v>38</v>
      </c>
      <c r="B9" s="197">
        <v>19744.560000000001</v>
      </c>
      <c r="C9" s="197">
        <v>18348.48</v>
      </c>
      <c r="D9" s="197">
        <v>18946.8</v>
      </c>
      <c r="E9" s="197">
        <v>20342.88</v>
      </c>
      <c r="F9" s="197">
        <v>12497.82</v>
      </c>
      <c r="G9" s="197">
        <v>12497.28</v>
      </c>
      <c r="H9" s="197">
        <v>10867.2</v>
      </c>
      <c r="I9" s="197">
        <v>10323.84</v>
      </c>
      <c r="J9" s="197">
        <v>11546</v>
      </c>
      <c r="K9" s="197">
        <v>11411</v>
      </c>
      <c r="L9" s="197">
        <v>12769</v>
      </c>
      <c r="M9" s="197">
        <v>13176</v>
      </c>
      <c r="N9" s="197">
        <f t="shared" si="0"/>
        <v>172470.86</v>
      </c>
    </row>
    <row r="10" spans="1:14" s="346" customFormat="1">
      <c r="A10" s="196" t="s">
        <v>153</v>
      </c>
      <c r="B10" s="197"/>
      <c r="C10" s="197"/>
      <c r="D10" s="197"/>
      <c r="E10" s="197"/>
      <c r="F10" s="197"/>
      <c r="G10" s="197"/>
      <c r="H10" s="197"/>
      <c r="I10" s="197"/>
      <c r="J10" s="197"/>
      <c r="K10" s="197"/>
      <c r="L10" s="197"/>
      <c r="M10" s="197"/>
      <c r="N10" s="198"/>
    </row>
    <row r="11" spans="1:14" s="346" customFormat="1">
      <c r="A11" s="196" t="s">
        <v>154</v>
      </c>
      <c r="B11" s="197">
        <v>17550.72</v>
      </c>
      <c r="C11" s="197">
        <v>18531.3</v>
      </c>
      <c r="D11" s="197">
        <v>23593.75</v>
      </c>
      <c r="E11" s="197">
        <v>14963.35</v>
      </c>
      <c r="F11" s="197">
        <v>10595.52</v>
      </c>
      <c r="G11" s="197">
        <v>10595.52</v>
      </c>
      <c r="H11" s="197">
        <v>10052.15</v>
      </c>
      <c r="I11" s="197">
        <v>10595.52</v>
      </c>
      <c r="J11" s="197">
        <v>10609.1</v>
      </c>
      <c r="K11" s="197">
        <v>7607.04</v>
      </c>
      <c r="L11" s="197">
        <v>12361.44</v>
      </c>
      <c r="M11" s="197">
        <v>8422.08</v>
      </c>
      <c r="N11" s="197">
        <f t="shared" si="0"/>
        <v>155477.49000000002</v>
      </c>
    </row>
    <row r="12" spans="1:14" s="346" customFormat="1">
      <c r="A12" s="196" t="s">
        <v>155</v>
      </c>
      <c r="B12" s="197">
        <v>19013.900000000001</v>
      </c>
      <c r="C12" s="197">
        <v>20473.14</v>
      </c>
      <c r="D12" s="197">
        <v>19784.5</v>
      </c>
      <c r="E12" s="197">
        <v>14532.82</v>
      </c>
      <c r="F12" s="197">
        <v>13255.72</v>
      </c>
      <c r="G12" s="197">
        <v>12089.76</v>
      </c>
      <c r="H12" s="197">
        <v>11914.3</v>
      </c>
      <c r="I12" s="197">
        <v>15400.28</v>
      </c>
      <c r="J12" s="197">
        <v>9658.2199999999993</v>
      </c>
      <c r="K12" s="197">
        <v>11778.46</v>
      </c>
      <c r="L12" s="197">
        <v>14080.8</v>
      </c>
      <c r="M12" s="197">
        <v>11150.2</v>
      </c>
      <c r="N12" s="197">
        <f t="shared" si="0"/>
        <v>173132.09999999998</v>
      </c>
    </row>
    <row r="13" spans="1:14" s="346" customFormat="1">
      <c r="A13" s="196" t="s">
        <v>177</v>
      </c>
      <c r="B13" s="197">
        <v>19993.39</v>
      </c>
      <c r="C13" s="197">
        <v>21307.439999999999</v>
      </c>
      <c r="D13" s="197">
        <v>18878.599999999999</v>
      </c>
      <c r="E13" s="197">
        <v>21742.44</v>
      </c>
      <c r="F13" s="197">
        <v>12443.62</v>
      </c>
      <c r="G13" s="197">
        <v>12089.76</v>
      </c>
      <c r="H13" s="197">
        <v>12497.28</v>
      </c>
      <c r="I13" s="197">
        <v>11953.91</v>
      </c>
      <c r="J13" s="197">
        <v>12429.36</v>
      </c>
      <c r="K13" s="197">
        <v>14561.1</v>
      </c>
      <c r="L13" s="197">
        <v>13454.6</v>
      </c>
      <c r="M13" s="197">
        <v>12525.42</v>
      </c>
      <c r="N13" s="197">
        <f t="shared" si="0"/>
        <v>183876.92</v>
      </c>
    </row>
    <row r="14" spans="1:14" s="346" customFormat="1">
      <c r="A14" s="196" t="s">
        <v>278</v>
      </c>
      <c r="B14" s="197">
        <v>18505.86</v>
      </c>
      <c r="C14" s="197">
        <v>19436.310000000001</v>
      </c>
      <c r="D14" s="197">
        <v>21007.56</v>
      </c>
      <c r="E14" s="197">
        <v>20888.84</v>
      </c>
      <c r="F14" s="197">
        <v>14703.56</v>
      </c>
      <c r="G14" s="197">
        <v>12497.28</v>
      </c>
      <c r="H14" s="197">
        <v>11953.91</v>
      </c>
      <c r="I14" s="197">
        <v>12089.76</v>
      </c>
      <c r="J14" s="197">
        <v>12038.82</v>
      </c>
      <c r="K14" s="197">
        <v>9142.26</v>
      </c>
      <c r="L14" s="197">
        <v>14349.6</v>
      </c>
      <c r="M14" s="197">
        <v>12389.74</v>
      </c>
      <c r="N14" s="197">
        <f t="shared" ref="N14:N19" si="1">SUM(B14:M14)</f>
        <v>179003.5</v>
      </c>
    </row>
    <row r="15" spans="1:14" s="346" customFormat="1">
      <c r="A15" s="196" t="s">
        <v>287</v>
      </c>
      <c r="B15" s="197">
        <v>18514.68</v>
      </c>
      <c r="C15" s="197">
        <v>19096.38</v>
      </c>
      <c r="D15" s="197">
        <v>17259.87</v>
      </c>
      <c r="E15" s="197">
        <v>17486.830000000002</v>
      </c>
      <c r="F15" s="197">
        <v>14150</v>
      </c>
      <c r="G15" s="197">
        <v>12072.78</v>
      </c>
      <c r="H15" s="197">
        <v>11840.72</v>
      </c>
      <c r="I15" s="197">
        <v>10963.42</v>
      </c>
      <c r="J15" s="197">
        <v>15124.45</v>
      </c>
      <c r="K15" s="197">
        <v>13913.97</v>
      </c>
      <c r="L15" s="197">
        <v>16096.69</v>
      </c>
      <c r="M15" s="197">
        <v>15066.5</v>
      </c>
      <c r="N15" s="197">
        <f t="shared" si="1"/>
        <v>181586.29</v>
      </c>
    </row>
    <row r="16" spans="1:14" s="346" customFormat="1">
      <c r="A16" s="196" t="s">
        <v>295</v>
      </c>
      <c r="B16" s="197">
        <f>16620+2830</f>
        <v>19450</v>
      </c>
      <c r="C16" s="197">
        <v>20775</v>
      </c>
      <c r="D16" s="197">
        <v>20775</v>
      </c>
      <c r="E16" s="197">
        <v>19885.830000000002</v>
      </c>
      <c r="F16" s="197">
        <f>10353.56+5067.02</f>
        <v>15420.58</v>
      </c>
      <c r="G16" s="197">
        <v>12242.58</v>
      </c>
      <c r="H16" s="197">
        <v>12118.06</v>
      </c>
      <c r="I16" s="197">
        <v>11370.94</v>
      </c>
      <c r="J16" s="197">
        <v>11902.98</v>
      </c>
      <c r="K16" s="197">
        <v>11818.08</v>
      </c>
      <c r="L16" s="197">
        <v>13238.74</v>
      </c>
      <c r="M16" s="197">
        <v>11274.72</v>
      </c>
      <c r="N16" s="197">
        <f t="shared" si="1"/>
        <v>180272.50999999998</v>
      </c>
    </row>
    <row r="17" spans="1:14" s="346" customFormat="1">
      <c r="A17" s="196" t="s">
        <v>320</v>
      </c>
      <c r="B17" s="197">
        <v>17134</v>
      </c>
      <c r="C17" s="197">
        <v>25129.439999999999</v>
      </c>
      <c r="D17" s="197">
        <v>21340.080000000002</v>
      </c>
      <c r="E17" s="197">
        <v>18547.919999999998</v>
      </c>
      <c r="F17" s="197">
        <v>16335.68</v>
      </c>
      <c r="G17" s="197">
        <v>13584</v>
      </c>
      <c r="H17" s="197">
        <v>11410.56</v>
      </c>
      <c r="I17" s="197">
        <v>9916.32</v>
      </c>
      <c r="J17" s="197">
        <v>11231.34</v>
      </c>
      <c r="K17" s="197">
        <v>10638</v>
      </c>
      <c r="L17" s="197">
        <v>10354.32</v>
      </c>
      <c r="M17" s="197">
        <v>10348.41</v>
      </c>
      <c r="N17" s="197">
        <f t="shared" si="1"/>
        <v>175970.07</v>
      </c>
    </row>
    <row r="18" spans="1:14" s="346" customFormat="1">
      <c r="A18" s="196" t="s">
        <v>360</v>
      </c>
      <c r="B18" s="197">
        <v>16225.47</v>
      </c>
      <c r="C18" s="197">
        <v>21349</v>
      </c>
      <c r="D18" s="197">
        <v>21756</v>
      </c>
      <c r="E18" s="197">
        <v>16428</v>
      </c>
      <c r="F18" s="197">
        <v>10008.35</v>
      </c>
      <c r="G18" s="197">
        <v>11459.49</v>
      </c>
      <c r="H18" s="197">
        <v>10691.19</v>
      </c>
      <c r="I18" s="197">
        <v>9651.0300000000007</v>
      </c>
      <c r="J18" s="197">
        <v>10277.49</v>
      </c>
      <c r="K18" s="197">
        <v>10939.41</v>
      </c>
      <c r="L18" s="197">
        <v>10773.93</v>
      </c>
      <c r="M18" s="197">
        <v>13250.58</v>
      </c>
      <c r="N18" s="197">
        <f t="shared" si="1"/>
        <v>162809.94</v>
      </c>
    </row>
    <row r="19" spans="1:14" s="346" customFormat="1">
      <c r="A19" s="196" t="s">
        <v>373</v>
      </c>
      <c r="B19" s="197">
        <v>18315</v>
      </c>
      <c r="C19" s="197">
        <v>24799.25</v>
      </c>
      <c r="D19" s="197">
        <v>25132.25</v>
      </c>
      <c r="E19" s="197">
        <v>23929.75</v>
      </c>
      <c r="F19" s="197">
        <v>14083.88</v>
      </c>
      <c r="G19" s="197">
        <v>12783.33</v>
      </c>
      <c r="H19" s="197">
        <v>11169.9</v>
      </c>
      <c r="I19" s="197">
        <v>11542.23</v>
      </c>
      <c r="J19" s="197">
        <v>11666.34</v>
      </c>
      <c r="K19" s="197">
        <v>11294.01</v>
      </c>
      <c r="L19" s="197">
        <v>11707.71</v>
      </c>
      <c r="M19" s="197">
        <v>12712.41</v>
      </c>
      <c r="N19" s="197">
        <f t="shared" si="1"/>
        <v>189136.06</v>
      </c>
    </row>
    <row r="20" spans="1:14" s="346" customFormat="1">
      <c r="A20" s="408" t="s">
        <v>386</v>
      </c>
      <c r="B20" s="197">
        <v>15261.48</v>
      </c>
      <c r="C20" s="197">
        <v>23771.75</v>
      </c>
      <c r="D20" s="197">
        <v>19711.5</v>
      </c>
      <c r="E20" s="197">
        <v>23462.5</v>
      </c>
      <c r="F20" s="197">
        <v>15633.83</v>
      </c>
      <c r="G20" s="197">
        <v>13442.94</v>
      </c>
      <c r="H20" s="197">
        <v>13156.92</v>
      </c>
      <c r="I20" s="197">
        <v>13013.91</v>
      </c>
      <c r="J20" s="197">
        <v>13299.93</v>
      </c>
      <c r="K20" s="197">
        <v>12870.9</v>
      </c>
      <c r="L20" s="197">
        <v>12291.95</v>
      </c>
      <c r="M20" s="197">
        <v>11779.08</v>
      </c>
      <c r="N20" s="197">
        <f>SUM(B20:M20)</f>
        <v>187696.68999999997</v>
      </c>
    </row>
    <row r="21" spans="1:14" s="346" customFormat="1">
      <c r="A21" s="434" t="s">
        <v>412</v>
      </c>
      <c r="B21" s="437">
        <v>14685.4</v>
      </c>
      <c r="C21" s="437">
        <v>15845.32</v>
      </c>
      <c r="D21" s="437">
        <v>15059.76</v>
      </c>
      <c r="E21" s="437">
        <v>17905.02</v>
      </c>
      <c r="F21" s="437">
        <v>13317.92</v>
      </c>
      <c r="G21" s="437">
        <v>12718.44</v>
      </c>
      <c r="H21" s="437">
        <v>12329.1</v>
      </c>
      <c r="I21" s="437">
        <v>11550.42</v>
      </c>
      <c r="J21" s="437">
        <v>11939.76</v>
      </c>
      <c r="K21" s="437">
        <v>11161.08</v>
      </c>
      <c r="L21" s="437">
        <v>10902</v>
      </c>
      <c r="M21" s="437">
        <v>10512.18</v>
      </c>
      <c r="N21" s="437">
        <f>SUM(B21:M21)</f>
        <v>157926.39999999999</v>
      </c>
    </row>
    <row r="22" spans="1:14" s="346" customFormat="1">
      <c r="A22" s="440" t="s">
        <v>413</v>
      </c>
      <c r="B22" s="437">
        <v>11636</v>
      </c>
      <c r="C22" s="437">
        <v>13345</v>
      </c>
      <c r="D22" s="437">
        <v>11793</v>
      </c>
      <c r="E22" s="437">
        <v>15089</v>
      </c>
      <c r="F22" s="437">
        <v>11729</v>
      </c>
      <c r="G22" s="437">
        <v>11290.86</v>
      </c>
      <c r="H22" s="437">
        <v>11291</v>
      </c>
      <c r="I22" s="437">
        <v>11031</v>
      </c>
      <c r="J22" s="437">
        <v>11421</v>
      </c>
      <c r="K22" s="437">
        <v>11421</v>
      </c>
      <c r="L22" s="437">
        <v>11290.86</v>
      </c>
      <c r="M22" s="437">
        <v>10432</v>
      </c>
      <c r="N22" s="437">
        <f>SUM(B22:M22)</f>
        <v>141769.72</v>
      </c>
    </row>
    <row r="23" spans="1:14" s="346" customFormat="1" ht="13.5" thickBot="1">
      <c r="A23" s="441" t="s">
        <v>509</v>
      </c>
      <c r="B23" s="437">
        <v>14402</v>
      </c>
      <c r="C23" s="437">
        <v>16497</v>
      </c>
      <c r="D23" s="437">
        <v>14341</v>
      </c>
      <c r="E23" s="437">
        <v>19102</v>
      </c>
      <c r="F23" s="437">
        <v>15566</v>
      </c>
      <c r="G23" s="437">
        <v>14156.1</v>
      </c>
      <c r="H23" s="437">
        <v>13842</v>
      </c>
      <c r="I23" s="437">
        <v>13212</v>
      </c>
      <c r="J23" s="437">
        <v>14471</v>
      </c>
      <c r="K23" s="437">
        <v>13684</v>
      </c>
      <c r="L23" s="437">
        <v>14313</v>
      </c>
      <c r="M23" s="437">
        <v>14156</v>
      </c>
      <c r="N23" s="437">
        <f>SUM(B23:M23)</f>
        <v>177742.1</v>
      </c>
    </row>
    <row r="24" spans="1:14" s="346" customFormat="1" ht="13.5" thickTop="1">
      <c r="A24" s="409" t="s">
        <v>321</v>
      </c>
      <c r="B24" s="410">
        <f>SUM(B21:B23)/3</f>
        <v>13574.466666666667</v>
      </c>
      <c r="C24" s="410">
        <f t="shared" ref="C24:N24" si="2">SUM(C21:C23)/3</f>
        <v>15229.106666666667</v>
      </c>
      <c r="D24" s="410">
        <f t="shared" si="2"/>
        <v>13731.253333333334</v>
      </c>
      <c r="E24" s="410">
        <f t="shared" si="2"/>
        <v>17365.34</v>
      </c>
      <c r="F24" s="410">
        <f t="shared" si="2"/>
        <v>13537.64</v>
      </c>
      <c r="G24" s="410">
        <f t="shared" si="2"/>
        <v>12721.800000000001</v>
      </c>
      <c r="H24" s="410">
        <f t="shared" si="2"/>
        <v>12487.366666666667</v>
      </c>
      <c r="I24" s="410">
        <f t="shared" si="2"/>
        <v>11931.14</v>
      </c>
      <c r="J24" s="410">
        <f t="shared" si="2"/>
        <v>12610.586666666668</v>
      </c>
      <c r="K24" s="410">
        <f t="shared" si="2"/>
        <v>12088.693333333335</v>
      </c>
      <c r="L24" s="410">
        <f t="shared" si="2"/>
        <v>12168.62</v>
      </c>
      <c r="M24" s="410">
        <f t="shared" si="2"/>
        <v>11700.06</v>
      </c>
      <c r="N24" s="410">
        <f t="shared" si="2"/>
        <v>159146.07333333333</v>
      </c>
    </row>
    <row r="27" spans="1:14">
      <c r="A27" s="601" t="s">
        <v>411</v>
      </c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13"/>
    </row>
    <row r="28" spans="1:14">
      <c r="A28" s="602"/>
      <c r="B28" s="406" t="s">
        <v>0</v>
      </c>
      <c r="C28" s="406" t="s">
        <v>54</v>
      </c>
      <c r="D28" s="406" t="s">
        <v>2</v>
      </c>
      <c r="E28" s="406" t="s">
        <v>409</v>
      </c>
      <c r="F28" s="406" t="s">
        <v>4</v>
      </c>
      <c r="G28" s="406" t="s">
        <v>5</v>
      </c>
      <c r="H28" s="406" t="s">
        <v>6</v>
      </c>
      <c r="I28" s="406" t="s">
        <v>7</v>
      </c>
      <c r="J28" s="406" t="s">
        <v>8</v>
      </c>
      <c r="K28" s="406" t="s">
        <v>9</v>
      </c>
      <c r="L28" s="406" t="s">
        <v>10</v>
      </c>
      <c r="M28" s="406" t="s">
        <v>11</v>
      </c>
      <c r="N28" s="407" t="s">
        <v>30</v>
      </c>
    </row>
    <row r="29" spans="1:14">
      <c r="A29" s="404" t="s">
        <v>386</v>
      </c>
      <c r="B29" s="197">
        <v>0</v>
      </c>
      <c r="C29" s="197">
        <v>8722</v>
      </c>
      <c r="D29" s="197">
        <v>3950</v>
      </c>
      <c r="E29" s="197">
        <v>4634.25</v>
      </c>
      <c r="F29" s="197">
        <v>702.35</v>
      </c>
      <c r="G29" s="197">
        <v>744.66</v>
      </c>
      <c r="H29" s="197">
        <v>661.92</v>
      </c>
      <c r="I29" s="197">
        <v>774.21</v>
      </c>
      <c r="J29" s="197">
        <v>685.56</v>
      </c>
      <c r="K29" s="197">
        <v>797.85</v>
      </c>
      <c r="L29" s="197">
        <v>1000.24</v>
      </c>
      <c r="M29" s="197">
        <v>2954.04</v>
      </c>
      <c r="N29" s="197">
        <f>SUM(B29:M29)</f>
        <v>25627.079999999998</v>
      </c>
    </row>
    <row r="30" spans="1:14">
      <c r="A30" s="404" t="s">
        <v>412</v>
      </c>
      <c r="B30" s="437">
        <v>7529.57</v>
      </c>
      <c r="C30" s="437">
        <v>10078.16</v>
      </c>
      <c r="D30" s="437">
        <v>9225.5400000000009</v>
      </c>
      <c r="E30" s="437">
        <v>9091.42</v>
      </c>
      <c r="F30" s="437">
        <v>3305.88</v>
      </c>
      <c r="G30" s="437">
        <v>605.64</v>
      </c>
      <c r="H30" s="437">
        <v>531.48</v>
      </c>
      <c r="I30" s="437">
        <v>364.62</v>
      </c>
      <c r="J30" s="437">
        <v>395.52</v>
      </c>
      <c r="K30" s="437">
        <v>383.16</v>
      </c>
      <c r="L30" s="437">
        <v>649</v>
      </c>
      <c r="M30" s="437">
        <v>4461.96</v>
      </c>
      <c r="N30" s="437">
        <f>SUM(B30:M30)</f>
        <v>46621.950000000004</v>
      </c>
    </row>
    <row r="31" spans="1:14">
      <c r="A31" s="404" t="s">
        <v>413</v>
      </c>
      <c r="B31" s="437">
        <v>9897</v>
      </c>
      <c r="C31" s="437">
        <v>16411</v>
      </c>
      <c r="D31" s="437">
        <v>10481</v>
      </c>
      <c r="E31" s="437">
        <v>10624</v>
      </c>
      <c r="F31" s="437">
        <v>5698</v>
      </c>
      <c r="G31" s="437">
        <v>1792.2</v>
      </c>
      <c r="H31" s="437">
        <v>1261</v>
      </c>
      <c r="I31" s="437">
        <v>10888</v>
      </c>
      <c r="J31" s="437">
        <v>606</v>
      </c>
      <c r="K31" s="437">
        <v>717</v>
      </c>
      <c r="L31" s="437">
        <v>550.02</v>
      </c>
      <c r="M31" s="437">
        <v>5296</v>
      </c>
      <c r="N31" s="437">
        <f>SUM(B31:M31)</f>
        <v>74221.22</v>
      </c>
    </row>
    <row r="32" spans="1:14">
      <c r="A32" s="404" t="s">
        <v>509</v>
      </c>
      <c r="B32" s="437">
        <v>9620</v>
      </c>
      <c r="C32" s="437">
        <v>10883</v>
      </c>
      <c r="D32" s="437">
        <v>709</v>
      </c>
      <c r="E32" s="437">
        <v>7102</v>
      </c>
      <c r="F32" s="437">
        <v>4445</v>
      </c>
      <c r="G32" s="437">
        <v>569.24</v>
      </c>
      <c r="H32" s="437">
        <v>509</v>
      </c>
      <c r="I32" s="437">
        <v>599</v>
      </c>
      <c r="J32" s="437">
        <v>449</v>
      </c>
      <c r="K32" s="437">
        <v>562</v>
      </c>
      <c r="L32" s="437">
        <v>494</v>
      </c>
      <c r="M32" s="437">
        <v>3655</v>
      </c>
      <c r="N32" s="437">
        <f>SUM(B32:M32)</f>
        <v>39596.239999999998</v>
      </c>
    </row>
    <row r="33" spans="1:14">
      <c r="A33" s="405"/>
      <c r="B33" s="437"/>
      <c r="C33" s="437"/>
      <c r="D33" s="437"/>
      <c r="E33" s="437"/>
      <c r="F33" s="437"/>
      <c r="G33" s="437"/>
      <c r="H33" s="437"/>
      <c r="I33" s="437"/>
      <c r="J33" s="437"/>
      <c r="K33" s="437"/>
      <c r="L33" s="437"/>
      <c r="M33" s="437"/>
      <c r="N33" s="437"/>
    </row>
    <row r="34" spans="1:14">
      <c r="A34" s="405"/>
      <c r="B34" s="437"/>
      <c r="C34" s="437"/>
      <c r="D34" s="437"/>
      <c r="E34" s="437"/>
      <c r="F34" s="437"/>
      <c r="G34" s="437"/>
      <c r="H34" s="437"/>
      <c r="I34" s="437"/>
      <c r="J34" s="437"/>
      <c r="K34" s="437"/>
      <c r="L34" s="437"/>
      <c r="M34" s="437"/>
      <c r="N34" s="437"/>
    </row>
    <row r="35" spans="1:14">
      <c r="A35" s="405"/>
      <c r="B35" s="437"/>
      <c r="C35" s="437"/>
      <c r="D35" s="437"/>
      <c r="E35" s="437"/>
      <c r="F35" s="437"/>
      <c r="G35" s="437"/>
      <c r="H35" s="437"/>
      <c r="I35" s="437"/>
      <c r="J35" s="437"/>
      <c r="K35" s="437"/>
      <c r="L35" s="437"/>
      <c r="M35" s="437"/>
      <c r="N35" s="437"/>
    </row>
    <row r="36" spans="1:14">
      <c r="A36" s="405"/>
      <c r="B36" s="437"/>
      <c r="C36" s="437"/>
      <c r="D36" s="437"/>
      <c r="E36" s="437"/>
      <c r="F36" s="437"/>
      <c r="G36" s="437"/>
      <c r="H36" s="437"/>
      <c r="I36" s="437"/>
      <c r="J36" s="437"/>
      <c r="K36" s="437"/>
      <c r="L36" s="437"/>
      <c r="M36" s="437"/>
      <c r="N36" s="437"/>
    </row>
    <row r="37" spans="1:14">
      <c r="A37" s="405"/>
      <c r="B37" s="437"/>
      <c r="C37" s="437"/>
      <c r="D37" s="437"/>
      <c r="E37" s="437"/>
      <c r="F37" s="437"/>
      <c r="G37" s="437"/>
      <c r="H37" s="437"/>
      <c r="I37" s="437"/>
      <c r="J37" s="437"/>
      <c r="K37" s="437"/>
      <c r="L37" s="437"/>
      <c r="M37" s="437"/>
      <c r="N37" s="437"/>
    </row>
    <row r="38" spans="1:14" ht="13.5" thickBot="1">
      <c r="A38" s="411"/>
      <c r="B38" s="437"/>
      <c r="C38" s="437"/>
      <c r="D38" s="437"/>
      <c r="E38" s="437"/>
      <c r="F38" s="437"/>
      <c r="G38" s="437"/>
      <c r="H38" s="437"/>
      <c r="I38" s="437"/>
      <c r="J38" s="437"/>
      <c r="K38" s="437"/>
      <c r="L38" s="437"/>
      <c r="M38" s="437"/>
      <c r="N38" s="437"/>
    </row>
    <row r="39" spans="1:14" ht="13.5" thickTop="1">
      <c r="A39" s="409" t="s">
        <v>321</v>
      </c>
      <c r="B39" s="435">
        <f>(SUM(B30:B32)/3)</f>
        <v>9015.5233333333326</v>
      </c>
      <c r="C39" s="435">
        <f t="shared" ref="C39:N39" si="3">(SUM(C30:C32)/3)</f>
        <v>12457.386666666667</v>
      </c>
      <c r="D39" s="435">
        <f t="shared" si="3"/>
        <v>6805.18</v>
      </c>
      <c r="E39" s="435">
        <f t="shared" si="3"/>
        <v>8939.14</v>
      </c>
      <c r="F39" s="435">
        <f t="shared" si="3"/>
        <v>4482.96</v>
      </c>
      <c r="G39" s="435">
        <f t="shared" si="3"/>
        <v>989.02666666666664</v>
      </c>
      <c r="H39" s="435">
        <f t="shared" si="3"/>
        <v>767.16</v>
      </c>
      <c r="I39" s="435">
        <f t="shared" si="3"/>
        <v>3950.5400000000004</v>
      </c>
      <c r="J39" s="435">
        <f t="shared" si="3"/>
        <v>483.50666666666666</v>
      </c>
      <c r="K39" s="435">
        <f t="shared" si="3"/>
        <v>554.0533333333334</v>
      </c>
      <c r="L39" s="435">
        <f t="shared" si="3"/>
        <v>564.34</v>
      </c>
      <c r="M39" s="435">
        <f t="shared" si="3"/>
        <v>4470.9866666666667</v>
      </c>
      <c r="N39" s="435">
        <f t="shared" si="3"/>
        <v>53479.803333333337</v>
      </c>
    </row>
  </sheetData>
  <mergeCells count="2">
    <mergeCell ref="A1:A2"/>
    <mergeCell ref="A27:A28"/>
  </mergeCells>
  <phoneticPr fontId="0" type="noConversion"/>
  <printOptions gridLines="1" gridLinesSet="0"/>
  <pageMargins left="0" right="0" top="0.5" bottom="0.25" header="0.3" footer="0.3"/>
  <pageSetup orientation="portrait" horizontalDpi="300" verticalDpi="300" r:id="rId1"/>
  <headerFooter alignWithMargins="0">
    <oddHeader>&amp;A</oddHeader>
    <oddFooter>Page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9"/>
  <dimension ref="A1:N41"/>
  <sheetViews>
    <sheetView view="pageBreakPreview" topLeftCell="B10" zoomScale="85" zoomScaleNormal="100" workbookViewId="0">
      <selection activeCell="N41" sqref="N41"/>
    </sheetView>
  </sheetViews>
  <sheetFormatPr defaultRowHeight="12.75"/>
  <cols>
    <col min="1" max="1" width="22.28515625" customWidth="1"/>
    <col min="2" max="2" width="10.7109375" customWidth="1"/>
    <col min="3" max="3" width="11.85546875" customWidth="1"/>
    <col min="4" max="4" width="11.5703125" customWidth="1"/>
    <col min="5" max="13" width="10.7109375" customWidth="1"/>
    <col min="14" max="14" width="12" customWidth="1"/>
  </cols>
  <sheetData>
    <row r="1" spans="1:14" ht="13.5" thickBot="1"/>
    <row r="2" spans="1:14" s="236" customFormat="1">
      <c r="A2" s="272" t="s">
        <v>65</v>
      </c>
      <c r="B2" s="273">
        <v>36089.46</v>
      </c>
      <c r="C2" s="273">
        <v>55056.45</v>
      </c>
      <c r="D2" s="273">
        <v>46912.74</v>
      </c>
      <c r="E2" s="273">
        <v>56136.57</v>
      </c>
      <c r="F2" s="273">
        <v>44123.69</v>
      </c>
      <c r="G2" s="273">
        <v>45668.97</v>
      </c>
      <c r="H2" s="273">
        <v>44214.67</v>
      </c>
      <c r="I2" s="273">
        <v>45688.5</v>
      </c>
      <c r="J2" s="273">
        <v>47543.95</v>
      </c>
      <c r="K2" s="273">
        <v>44095.82</v>
      </c>
      <c r="L2" s="273">
        <v>46660.08</v>
      </c>
      <c r="M2" s="273">
        <v>46988.51</v>
      </c>
      <c r="N2" s="82">
        <f>SUM(B2:M2)</f>
        <v>559179.41</v>
      </c>
    </row>
    <row r="3" spans="1:14">
      <c r="A3" s="42" t="s">
        <v>140</v>
      </c>
      <c r="B3" s="4">
        <v>51716.17</v>
      </c>
      <c r="C3" s="4">
        <v>50880.21</v>
      </c>
      <c r="D3" s="4">
        <v>52281.52</v>
      </c>
      <c r="E3" s="4">
        <v>64303.48</v>
      </c>
      <c r="F3" s="4">
        <v>56109.32</v>
      </c>
      <c r="G3" s="4">
        <v>49899.49</v>
      </c>
      <c r="H3" s="4">
        <v>50752.79</v>
      </c>
      <c r="I3" s="4">
        <v>42517.47</v>
      </c>
      <c r="J3" s="4">
        <v>46017.2</v>
      </c>
      <c r="K3" s="4">
        <v>48439.02</v>
      </c>
      <c r="L3" s="4">
        <v>48518</v>
      </c>
      <c r="M3" s="4">
        <v>52378.32</v>
      </c>
      <c r="N3" s="82">
        <f>SUM(B3:M3)</f>
        <v>613812.98999999987</v>
      </c>
    </row>
    <row r="4" spans="1:14">
      <c r="A4" s="42" t="s">
        <v>66</v>
      </c>
      <c r="B4" s="4">
        <v>56859.53</v>
      </c>
      <c r="C4" s="4">
        <v>54769.440000000002</v>
      </c>
      <c r="D4" s="4">
        <v>61577.19</v>
      </c>
      <c r="E4" s="4">
        <v>61033.56</v>
      </c>
      <c r="F4" s="4">
        <v>52785.32</v>
      </c>
      <c r="G4" s="4">
        <v>46722.9</v>
      </c>
      <c r="H4" s="4">
        <v>51000.75</v>
      </c>
      <c r="I4" s="4">
        <v>45236.65</v>
      </c>
      <c r="J4" s="4">
        <v>49097.71</v>
      </c>
      <c r="K4" s="4">
        <v>47346.81</v>
      </c>
      <c r="L4" s="4">
        <v>53244.68</v>
      </c>
      <c r="M4" s="4">
        <v>52378.32</v>
      </c>
      <c r="N4" s="82">
        <f>SUM(B4:M4)</f>
        <v>632052.8600000001</v>
      </c>
    </row>
    <row r="5" spans="1:14">
      <c r="A5" s="42" t="s">
        <v>136</v>
      </c>
      <c r="B5" s="4">
        <v>51795.48</v>
      </c>
      <c r="C5" s="4">
        <v>60748.07</v>
      </c>
      <c r="D5" s="4">
        <v>59773.29</v>
      </c>
      <c r="E5" s="4">
        <v>64595.98</v>
      </c>
      <c r="F5" s="4">
        <v>52768.07</v>
      </c>
      <c r="G5" s="4">
        <v>51195.01</v>
      </c>
      <c r="H5" s="4">
        <v>51791.91</v>
      </c>
      <c r="I5" s="4">
        <v>46138.66</v>
      </c>
      <c r="J5" s="4">
        <v>47863.360000000001</v>
      </c>
      <c r="K5" s="4">
        <v>45512.26</v>
      </c>
      <c r="L5" s="4">
        <v>47971.26</v>
      </c>
      <c r="M5" s="4">
        <v>41545.57</v>
      </c>
      <c r="N5" s="82">
        <f>SUM(B5:M5)</f>
        <v>621698.92000000004</v>
      </c>
    </row>
    <row r="7" spans="1:14">
      <c r="A7" s="17" t="s">
        <v>202</v>
      </c>
      <c r="B7" s="3">
        <v>727680</v>
      </c>
      <c r="C7" s="3">
        <v>1204800</v>
      </c>
      <c r="D7" s="3">
        <v>691200</v>
      </c>
      <c r="E7" s="3">
        <v>1070400</v>
      </c>
      <c r="F7" s="3">
        <v>960000</v>
      </c>
      <c r="G7" s="3">
        <v>998400</v>
      </c>
      <c r="H7" s="3">
        <v>1039898</v>
      </c>
      <c r="I7" s="3">
        <v>1074562</v>
      </c>
      <c r="J7" s="3">
        <v>1135139</v>
      </c>
      <c r="K7" s="3">
        <v>1036800</v>
      </c>
      <c r="L7" s="3">
        <v>972000</v>
      </c>
      <c r="M7" s="3">
        <v>1078000</v>
      </c>
      <c r="N7" s="79">
        <f>SUM(B7:M7)</f>
        <v>11988879</v>
      </c>
    </row>
    <row r="8" spans="1:14" s="132" customFormat="1">
      <c r="A8" s="132" t="s">
        <v>203</v>
      </c>
      <c r="B8" s="127">
        <v>940800</v>
      </c>
      <c r="C8" s="127">
        <v>979200</v>
      </c>
      <c r="D8" s="127">
        <v>1008000</v>
      </c>
      <c r="E8" s="127">
        <v>1135200</v>
      </c>
      <c r="F8" s="127">
        <v>1144800</v>
      </c>
      <c r="G8" s="127">
        <v>1096800</v>
      </c>
      <c r="H8" s="127">
        <v>1195200</v>
      </c>
      <c r="I8" s="127">
        <v>936000</v>
      </c>
      <c r="J8" s="127">
        <v>1034400</v>
      </c>
      <c r="K8" s="127">
        <v>1161600</v>
      </c>
      <c r="L8" s="127">
        <v>1039200</v>
      </c>
      <c r="M8" s="127">
        <v>1111200</v>
      </c>
      <c r="N8" s="132">
        <f>SUM(B8:M8)</f>
        <v>12782400</v>
      </c>
    </row>
    <row r="9" spans="1:14" s="132" customFormat="1">
      <c r="A9" s="132" t="s">
        <v>298</v>
      </c>
      <c r="B9" s="127">
        <v>1012800</v>
      </c>
      <c r="C9" s="127">
        <v>1022400</v>
      </c>
      <c r="D9" s="127">
        <v>1212000</v>
      </c>
      <c r="E9" s="127">
        <v>1128000</v>
      </c>
      <c r="F9" s="127">
        <v>1128000</v>
      </c>
      <c r="G9" s="127">
        <v>945600</v>
      </c>
      <c r="H9" s="127">
        <v>1195200</v>
      </c>
      <c r="I9" s="127">
        <v>1056000</v>
      </c>
      <c r="J9" s="127">
        <v>1101600</v>
      </c>
      <c r="K9" s="127">
        <v>1039200</v>
      </c>
      <c r="L9" s="127">
        <v>1130400</v>
      </c>
      <c r="M9" s="127">
        <v>1000800</v>
      </c>
      <c r="N9" s="132">
        <f>SUM(B9:M9)</f>
        <v>12972000</v>
      </c>
    </row>
    <row r="10" spans="1:14">
      <c r="A10" s="69" t="s">
        <v>181</v>
      </c>
      <c r="B10" s="69">
        <v>974400</v>
      </c>
      <c r="C10" s="69">
        <v>1123200</v>
      </c>
      <c r="D10" s="69">
        <v>1125600</v>
      </c>
      <c r="E10" s="69">
        <v>1096800</v>
      </c>
      <c r="F10" s="69">
        <v>1020000</v>
      </c>
      <c r="G10" s="69">
        <v>1099200</v>
      </c>
      <c r="H10" s="69">
        <v>849600</v>
      </c>
      <c r="I10" s="69">
        <v>1020000</v>
      </c>
      <c r="J10" s="69">
        <v>1039200</v>
      </c>
      <c r="K10" s="69">
        <v>936000</v>
      </c>
      <c r="L10" s="69">
        <v>878400</v>
      </c>
      <c r="M10" s="69">
        <v>955200</v>
      </c>
      <c r="N10" s="69">
        <f>SUM(B10:M10)</f>
        <v>12117600</v>
      </c>
    </row>
    <row r="11" spans="1:14">
      <c r="A11" t="s">
        <v>180</v>
      </c>
      <c r="B11" s="69">
        <v>960000</v>
      </c>
      <c r="C11" s="69">
        <v>1058400</v>
      </c>
      <c r="D11" s="69">
        <v>1468800</v>
      </c>
      <c r="E11" s="69">
        <v>891072</v>
      </c>
      <c r="F11" s="69">
        <v>909792</v>
      </c>
      <c r="G11" s="69">
        <v>876096</v>
      </c>
      <c r="H11" s="69">
        <v>1096992</v>
      </c>
      <c r="I11" s="69">
        <v>662688</v>
      </c>
      <c r="J11" s="69">
        <v>1029600</v>
      </c>
      <c r="K11" s="69">
        <v>692640</v>
      </c>
      <c r="L11" s="69">
        <v>1048320</v>
      </c>
      <c r="M11" s="69">
        <v>917568</v>
      </c>
      <c r="N11" s="69">
        <f>SUM(B11:M11)</f>
        <v>11611968</v>
      </c>
    </row>
    <row r="12" spans="1:14">
      <c r="B12" s="70"/>
      <c r="C12" s="70"/>
      <c r="D12" s="70"/>
      <c r="E12" s="70"/>
      <c r="F12" s="70"/>
      <c r="G12" s="70"/>
      <c r="H12" s="70"/>
      <c r="I12" s="70"/>
      <c r="J12" s="70"/>
      <c r="K12" s="70"/>
      <c r="L12" s="70"/>
      <c r="M12" s="70"/>
    </row>
    <row r="13" spans="1:14">
      <c r="B13" s="70" t="s">
        <v>0</v>
      </c>
      <c r="C13" s="70" t="s">
        <v>1</v>
      </c>
      <c r="D13" s="70" t="s">
        <v>2</v>
      </c>
      <c r="E13" s="70" t="s">
        <v>3</v>
      </c>
      <c r="F13" s="70" t="s">
        <v>4</v>
      </c>
      <c r="G13" s="70" t="s">
        <v>5</v>
      </c>
      <c r="H13" s="70" t="s">
        <v>6</v>
      </c>
      <c r="I13" s="70" t="s">
        <v>7</v>
      </c>
      <c r="J13" s="70" t="s">
        <v>8</v>
      </c>
      <c r="K13" s="70" t="s">
        <v>9</v>
      </c>
      <c r="L13" s="70" t="s">
        <v>10</v>
      </c>
      <c r="M13" s="70" t="s">
        <v>11</v>
      </c>
    </row>
    <row r="14" spans="1:14">
      <c r="A14" s="42" t="s">
        <v>152</v>
      </c>
      <c r="B14" s="77">
        <v>50437.32</v>
      </c>
      <c r="C14" s="77">
        <v>58385.34</v>
      </c>
      <c r="D14" s="77">
        <v>75659.320000000007</v>
      </c>
      <c r="E14" s="77">
        <v>44676.62</v>
      </c>
      <c r="F14" s="77">
        <v>40321.379999999997</v>
      </c>
      <c r="G14" s="77">
        <v>39542.879999999997</v>
      </c>
      <c r="H14" s="77">
        <v>48231.54</v>
      </c>
      <c r="I14" s="77">
        <v>35124.089999999997</v>
      </c>
      <c r="J14" s="77">
        <v>50692.36</v>
      </c>
      <c r="K14" s="77">
        <v>27815.23</v>
      </c>
      <c r="L14" s="77">
        <v>48915.4</v>
      </c>
      <c r="M14" s="77">
        <v>47748.59</v>
      </c>
      <c r="N14" s="82">
        <f t="shared" ref="N14:N24" si="0">SUM(B14:M14)</f>
        <v>567550.06999999995</v>
      </c>
    </row>
    <row r="15" spans="1:14">
      <c r="A15" s="42" t="s">
        <v>156</v>
      </c>
      <c r="B15" s="77">
        <v>60568.28</v>
      </c>
      <c r="C15" s="77">
        <v>80559.47</v>
      </c>
      <c r="D15" s="77">
        <v>58604.17</v>
      </c>
      <c r="E15" s="77">
        <v>44218.28</v>
      </c>
      <c r="F15" s="77">
        <v>60031.62</v>
      </c>
      <c r="G15" s="77">
        <v>50221.63</v>
      </c>
      <c r="H15" s="77">
        <v>41399.07</v>
      </c>
      <c r="I15" s="77">
        <v>60250.73</v>
      </c>
      <c r="J15" s="77">
        <v>40347.550000000003</v>
      </c>
      <c r="K15" s="77">
        <v>48772.09</v>
      </c>
      <c r="L15" s="77">
        <v>53994.66</v>
      </c>
      <c r="M15" s="77">
        <v>41054.879999999997</v>
      </c>
      <c r="N15" s="77">
        <f t="shared" si="0"/>
        <v>640022.43000000005</v>
      </c>
    </row>
    <row r="16" spans="1:14">
      <c r="A16" s="4" t="s">
        <v>206</v>
      </c>
      <c r="B16" s="77">
        <v>59752.38</v>
      </c>
      <c r="C16" s="77">
        <v>67141.22</v>
      </c>
      <c r="D16" s="77">
        <v>57980.87</v>
      </c>
      <c r="E16" s="77">
        <v>65093.01</v>
      </c>
      <c r="F16" s="77">
        <v>42350.29</v>
      </c>
      <c r="G16" s="77">
        <v>54781.48</v>
      </c>
      <c r="H16" s="77">
        <v>40805.910000000003</v>
      </c>
      <c r="I16" s="77">
        <v>49771.51</v>
      </c>
      <c r="J16" s="77">
        <v>51971.35</v>
      </c>
      <c r="K16" s="77">
        <v>45086.04</v>
      </c>
      <c r="L16" s="77">
        <v>51176.88</v>
      </c>
      <c r="M16" s="77">
        <v>52002.85</v>
      </c>
      <c r="N16" s="77">
        <f t="shared" si="0"/>
        <v>637913.79</v>
      </c>
    </row>
    <row r="17" spans="1:14">
      <c r="A17" s="4" t="s">
        <v>277</v>
      </c>
      <c r="B17" s="77">
        <v>55074.63</v>
      </c>
      <c r="C17" s="77">
        <v>58882.69</v>
      </c>
      <c r="D17" s="77">
        <v>68025.47</v>
      </c>
      <c r="E17" s="77">
        <v>59587.77</v>
      </c>
      <c r="F17" s="77">
        <v>60317.21</v>
      </c>
      <c r="G17" s="77">
        <v>45625.39</v>
      </c>
      <c r="H17" s="77">
        <v>52572.23</v>
      </c>
      <c r="I17" s="77">
        <v>47503.98</v>
      </c>
      <c r="J17" s="77">
        <v>49614.92</v>
      </c>
      <c r="K17" s="77">
        <v>39192.97</v>
      </c>
      <c r="L17" s="77">
        <v>56545.279999999999</v>
      </c>
      <c r="M17" s="77">
        <v>46313.9</v>
      </c>
      <c r="N17" s="77">
        <f t="shared" si="0"/>
        <v>639256.44000000006</v>
      </c>
    </row>
    <row r="18" spans="1:14">
      <c r="A18" s="4" t="s">
        <v>296</v>
      </c>
      <c r="B18" s="295">
        <v>54260.62</v>
      </c>
      <c r="C18" s="295">
        <v>63469.84</v>
      </c>
      <c r="D18" s="295">
        <v>56512.7</v>
      </c>
      <c r="E18" s="295">
        <v>68456.06</v>
      </c>
      <c r="F18" s="295">
        <v>53441.57</v>
      </c>
      <c r="G18" s="295">
        <v>53882.23</v>
      </c>
      <c r="H18" s="295">
        <v>50785.279999999999</v>
      </c>
      <c r="I18" s="295">
        <v>50212.800000000003</v>
      </c>
      <c r="J18" s="295">
        <v>58761.35</v>
      </c>
      <c r="K18" s="295">
        <v>57560.21</v>
      </c>
      <c r="L18" s="295">
        <v>55329.03</v>
      </c>
      <c r="M18" s="295">
        <v>54578.99</v>
      </c>
      <c r="N18" s="77">
        <f t="shared" si="0"/>
        <v>677250.67999999993</v>
      </c>
    </row>
    <row r="19" spans="1:14">
      <c r="A19" s="4" t="s">
        <v>297</v>
      </c>
      <c r="B19" s="295">
        <v>68546.080000000002</v>
      </c>
      <c r="C19" s="295">
        <v>76184.17</v>
      </c>
      <c r="D19" s="295">
        <v>79427.8</v>
      </c>
      <c r="E19" s="295">
        <v>78117.58</v>
      </c>
      <c r="F19" s="295">
        <v>61548.14</v>
      </c>
      <c r="G19" s="295">
        <v>57570.61</v>
      </c>
      <c r="H19" s="295">
        <v>68579.44</v>
      </c>
      <c r="I19" s="295">
        <v>63251.23</v>
      </c>
      <c r="J19" s="295">
        <v>75515.97</v>
      </c>
      <c r="K19" s="295">
        <v>65617.58</v>
      </c>
      <c r="L19" s="295">
        <v>60893.45</v>
      </c>
      <c r="M19" s="295">
        <v>51877.3</v>
      </c>
      <c r="N19" s="77">
        <f t="shared" si="0"/>
        <v>807129.35</v>
      </c>
    </row>
    <row r="20" spans="1:14">
      <c r="A20" s="4" t="s">
        <v>366</v>
      </c>
      <c r="B20" s="295">
        <v>63733.17</v>
      </c>
      <c r="C20" s="295">
        <v>88526.74</v>
      </c>
      <c r="D20" s="295">
        <v>82293.42</v>
      </c>
      <c r="E20" s="295">
        <v>85211.58</v>
      </c>
      <c r="F20" s="295">
        <v>72564.820000000007</v>
      </c>
      <c r="G20" s="295">
        <v>64331.44</v>
      </c>
      <c r="H20" s="295">
        <v>64468.21</v>
      </c>
      <c r="I20" s="295">
        <v>61057.55</v>
      </c>
      <c r="J20" s="295">
        <v>65068.1</v>
      </c>
      <c r="K20" s="295">
        <v>64259.32</v>
      </c>
      <c r="L20" s="295">
        <v>67892.13</v>
      </c>
      <c r="M20" s="295">
        <v>57182.14</v>
      </c>
      <c r="N20" s="77">
        <f t="shared" si="0"/>
        <v>836588.62</v>
      </c>
    </row>
    <row r="21" spans="1:14">
      <c r="A21" s="4" t="s">
        <v>365</v>
      </c>
      <c r="B21" s="295">
        <v>71047.17</v>
      </c>
      <c r="C21" s="295">
        <v>88678.11</v>
      </c>
      <c r="D21" s="295">
        <v>78241.95</v>
      </c>
      <c r="E21" s="295">
        <v>72049.350000000006</v>
      </c>
      <c r="F21" s="295">
        <v>54836.99</v>
      </c>
      <c r="G21" s="295">
        <v>59534.080000000002</v>
      </c>
      <c r="H21" s="295">
        <v>69111</v>
      </c>
      <c r="I21" s="295">
        <v>60478.93</v>
      </c>
      <c r="J21" s="295">
        <v>65735.48</v>
      </c>
      <c r="K21" s="295">
        <v>60521.62</v>
      </c>
      <c r="L21" s="295">
        <v>59102.9</v>
      </c>
      <c r="M21" s="295">
        <v>56881.26</v>
      </c>
      <c r="N21" s="77">
        <f t="shared" si="0"/>
        <v>796218.84</v>
      </c>
    </row>
    <row r="22" spans="1:14">
      <c r="A22" s="359" t="s">
        <v>379</v>
      </c>
      <c r="B22" s="295">
        <v>68156.67</v>
      </c>
      <c r="C22" s="295">
        <v>105646.86</v>
      </c>
      <c r="D22" s="295">
        <v>101187.56</v>
      </c>
      <c r="E22" s="295">
        <v>98557.74</v>
      </c>
      <c r="F22" s="295">
        <v>67070</v>
      </c>
      <c r="G22" s="295">
        <v>75397.7</v>
      </c>
      <c r="H22" s="295">
        <v>75465.64</v>
      </c>
      <c r="I22" s="295">
        <v>70186.36</v>
      </c>
      <c r="J22" s="295">
        <v>78862.78</v>
      </c>
      <c r="K22" s="295">
        <v>70351.45</v>
      </c>
      <c r="L22" s="295">
        <v>69667.75</v>
      </c>
      <c r="M22" s="295">
        <v>66479.77</v>
      </c>
      <c r="N22" s="77">
        <f t="shared" si="0"/>
        <v>947030.27999999991</v>
      </c>
    </row>
    <row r="23" spans="1:14">
      <c r="A23" s="359" t="s">
        <v>424</v>
      </c>
      <c r="B23" s="295">
        <v>59417.35</v>
      </c>
      <c r="C23" s="295">
        <v>97080</v>
      </c>
      <c r="D23" s="295">
        <v>77542</v>
      </c>
      <c r="E23" s="295">
        <v>87056</v>
      </c>
      <c r="F23" s="295">
        <v>78767</v>
      </c>
      <c r="G23" s="295">
        <v>75774</v>
      </c>
      <c r="H23" s="295">
        <v>82198</v>
      </c>
      <c r="I23" s="295">
        <v>74977</v>
      </c>
      <c r="J23" s="295">
        <v>75174</v>
      </c>
      <c r="K23" s="295">
        <v>70736</v>
      </c>
      <c r="L23" s="295">
        <v>17706</v>
      </c>
      <c r="M23" s="295">
        <v>56972</v>
      </c>
      <c r="N23" s="77">
        <f t="shared" si="0"/>
        <v>853399.35</v>
      </c>
    </row>
    <row r="24" spans="1:14">
      <c r="A24" s="359" t="s">
        <v>463</v>
      </c>
      <c r="B24" s="295">
        <v>77517</v>
      </c>
      <c r="C24" s="295">
        <v>92420</v>
      </c>
      <c r="D24" s="295">
        <v>84142</v>
      </c>
      <c r="E24" s="295">
        <v>83195</v>
      </c>
      <c r="F24" s="295">
        <v>72092</v>
      </c>
      <c r="G24" s="295">
        <v>70693</v>
      </c>
      <c r="H24" s="295">
        <v>77058</v>
      </c>
      <c r="I24" s="295">
        <v>71415</v>
      </c>
      <c r="J24" s="295">
        <v>69530</v>
      </c>
      <c r="K24" s="295">
        <v>68396</v>
      </c>
      <c r="L24" s="295">
        <v>70953</v>
      </c>
      <c r="M24" s="295">
        <v>70724</v>
      </c>
      <c r="N24" s="77">
        <f t="shared" si="0"/>
        <v>908135</v>
      </c>
    </row>
    <row r="25" spans="1:14">
      <c r="A25" s="359" t="s">
        <v>493</v>
      </c>
      <c r="B25" s="295">
        <v>74721</v>
      </c>
      <c r="C25" s="295">
        <v>95764</v>
      </c>
      <c r="D25" s="295">
        <v>84510</v>
      </c>
      <c r="E25" s="295">
        <v>89771</v>
      </c>
      <c r="F25" s="295">
        <v>76422</v>
      </c>
      <c r="G25" s="295">
        <v>62656</v>
      </c>
      <c r="H25" s="295">
        <v>77041</v>
      </c>
      <c r="I25" s="295">
        <v>69266</v>
      </c>
      <c r="J25" s="295">
        <v>71502</v>
      </c>
      <c r="K25" s="295">
        <v>68952</v>
      </c>
      <c r="L25" s="295">
        <v>69512</v>
      </c>
      <c r="M25" s="295">
        <v>63859</v>
      </c>
      <c r="N25" s="77">
        <f>SUM(B25:M25)</f>
        <v>903976</v>
      </c>
    </row>
    <row r="26" spans="1:14">
      <c r="A26" s="359" t="s">
        <v>518</v>
      </c>
      <c r="B26" s="295">
        <v>81110</v>
      </c>
      <c r="C26" s="295">
        <v>102382</v>
      </c>
      <c r="D26" s="295">
        <v>80428</v>
      </c>
      <c r="E26" s="295">
        <v>91329</v>
      </c>
      <c r="F26" s="295">
        <v>78146</v>
      </c>
      <c r="G26" s="295">
        <v>75530</v>
      </c>
      <c r="H26" s="295">
        <v>77403</v>
      </c>
      <c r="I26" s="295">
        <v>73147</v>
      </c>
      <c r="J26" s="295">
        <v>83128</v>
      </c>
      <c r="K26" s="295">
        <v>75667</v>
      </c>
      <c r="L26" s="295">
        <v>79992</v>
      </c>
      <c r="M26" s="295">
        <v>81537</v>
      </c>
      <c r="N26" s="77">
        <f>SUM(B26:M26)</f>
        <v>979799</v>
      </c>
    </row>
    <row r="27" spans="1:14">
      <c r="A27" s="4"/>
      <c r="B27" s="295"/>
      <c r="C27" s="295"/>
      <c r="D27" s="295"/>
      <c r="E27" s="295"/>
      <c r="F27" s="295"/>
      <c r="G27" s="295"/>
      <c r="H27" s="295"/>
      <c r="I27" s="295"/>
      <c r="J27" s="295"/>
      <c r="K27" s="295"/>
      <c r="L27" s="295"/>
      <c r="M27" s="295"/>
      <c r="N27" s="77"/>
    </row>
    <row r="28" spans="1:14">
      <c r="A28" s="90" t="s">
        <v>442</v>
      </c>
      <c r="B28" s="69">
        <v>1000800</v>
      </c>
      <c r="C28" s="69">
        <v>1365600</v>
      </c>
      <c r="D28" s="69">
        <v>924000</v>
      </c>
      <c r="E28" s="69">
        <v>837600</v>
      </c>
      <c r="F28" s="69">
        <v>1231200</v>
      </c>
      <c r="G28" s="69">
        <v>1116000</v>
      </c>
      <c r="H28" s="69">
        <v>856800</v>
      </c>
      <c r="I28" s="69">
        <v>1293600</v>
      </c>
      <c r="J28" s="69">
        <v>926400</v>
      </c>
      <c r="K28" s="69">
        <v>1094400</v>
      </c>
      <c r="L28" s="69">
        <v>1243200</v>
      </c>
      <c r="M28" s="69">
        <v>849600</v>
      </c>
      <c r="N28" s="69">
        <f t="shared" ref="N28:N39" si="1">SUM(B28:M28)</f>
        <v>12739200</v>
      </c>
    </row>
    <row r="29" spans="1:14">
      <c r="A29" s="101" t="s">
        <v>443</v>
      </c>
      <c r="B29" s="69">
        <v>1056000</v>
      </c>
      <c r="C29" s="69">
        <v>1262400</v>
      </c>
      <c r="D29" s="69">
        <v>1020000</v>
      </c>
      <c r="E29" s="69">
        <v>1329600</v>
      </c>
      <c r="F29" s="69">
        <v>998400</v>
      </c>
      <c r="G29" s="69">
        <v>1291200</v>
      </c>
      <c r="H29" s="69">
        <v>854400</v>
      </c>
      <c r="I29" s="69">
        <v>1128000</v>
      </c>
      <c r="J29" s="69">
        <v>1240800</v>
      </c>
      <c r="K29" s="69">
        <v>976800</v>
      </c>
      <c r="L29" s="69">
        <v>1101600</v>
      </c>
      <c r="M29" s="69">
        <v>998400</v>
      </c>
      <c r="N29" s="69">
        <f t="shared" si="1"/>
        <v>13257600</v>
      </c>
    </row>
    <row r="30" spans="1:14">
      <c r="A30" s="90" t="s">
        <v>444</v>
      </c>
      <c r="B30" s="69">
        <v>967200</v>
      </c>
      <c r="C30" s="69">
        <v>1039200</v>
      </c>
      <c r="D30" s="69">
        <v>1240800</v>
      </c>
      <c r="E30" s="69">
        <v>1159200</v>
      </c>
      <c r="F30" s="69">
        <v>1257600</v>
      </c>
      <c r="G30" s="69">
        <v>1015200</v>
      </c>
      <c r="H30" s="69">
        <v>1180800</v>
      </c>
      <c r="I30" s="69">
        <v>1041600</v>
      </c>
      <c r="J30" s="69">
        <v>1060800</v>
      </c>
      <c r="K30" s="69">
        <v>844800</v>
      </c>
      <c r="L30" s="69">
        <v>1274400</v>
      </c>
      <c r="M30" s="69">
        <v>888000</v>
      </c>
      <c r="N30" s="69">
        <f t="shared" si="1"/>
        <v>12969600</v>
      </c>
    </row>
    <row r="31" spans="1:14">
      <c r="A31" s="90" t="s">
        <v>445</v>
      </c>
      <c r="B31" s="294">
        <v>899585</v>
      </c>
      <c r="C31" s="294">
        <v>1105860</v>
      </c>
      <c r="D31" s="294">
        <v>977142</v>
      </c>
      <c r="E31" s="294">
        <v>1265510</v>
      </c>
      <c r="F31" s="294">
        <v>1079949</v>
      </c>
      <c r="G31" s="294">
        <v>1045310</v>
      </c>
      <c r="H31" s="294">
        <v>1015844</v>
      </c>
      <c r="I31" s="294">
        <v>1087376</v>
      </c>
      <c r="J31" s="294">
        <v>1196023</v>
      </c>
      <c r="K31" s="294">
        <v>1237149</v>
      </c>
      <c r="L31" s="294">
        <v>1045415</v>
      </c>
      <c r="M31" s="294">
        <v>989008</v>
      </c>
      <c r="N31" s="69">
        <f t="shared" si="1"/>
        <v>12944171</v>
      </c>
    </row>
    <row r="32" spans="1:14">
      <c r="A32" s="90" t="s">
        <v>446</v>
      </c>
      <c r="B32" s="294">
        <v>1029339</v>
      </c>
      <c r="C32" s="294">
        <v>1209515</v>
      </c>
      <c r="D32" s="294">
        <v>1077824</v>
      </c>
      <c r="E32" s="294">
        <v>1224364</v>
      </c>
      <c r="F32" s="294">
        <v>1065547</v>
      </c>
      <c r="G32" s="294">
        <v>1007698</v>
      </c>
      <c r="H32" s="294">
        <v>1236344</v>
      </c>
      <c r="I32" s="294">
        <v>1033577</v>
      </c>
      <c r="J32" s="294">
        <v>1140243</v>
      </c>
      <c r="K32" s="294">
        <v>1071488</v>
      </c>
      <c r="L32" s="294">
        <v>1012501</v>
      </c>
      <c r="M32" s="294">
        <v>950317</v>
      </c>
      <c r="N32" s="69">
        <f t="shared" si="1"/>
        <v>13058757</v>
      </c>
    </row>
    <row r="33" spans="1:14">
      <c r="A33" s="90" t="s">
        <v>447</v>
      </c>
      <c r="B33" s="294">
        <v>1005600</v>
      </c>
      <c r="C33" s="294">
        <v>1171200</v>
      </c>
      <c r="D33" s="294">
        <v>1056000</v>
      </c>
      <c r="E33" s="294">
        <v>1118400</v>
      </c>
      <c r="F33" s="294">
        <v>1036800</v>
      </c>
      <c r="G33" s="294">
        <v>1075200</v>
      </c>
      <c r="H33" s="294">
        <v>1075200</v>
      </c>
      <c r="I33" s="294">
        <v>938400</v>
      </c>
      <c r="J33" s="294">
        <v>1048800</v>
      </c>
      <c r="K33" s="294">
        <v>1070400</v>
      </c>
      <c r="L33" s="294">
        <v>959000</v>
      </c>
      <c r="M33" s="294">
        <v>844200</v>
      </c>
      <c r="N33" s="69">
        <f t="shared" si="1"/>
        <v>12399200</v>
      </c>
    </row>
    <row r="34" spans="1:14">
      <c r="A34" s="90" t="s">
        <v>448</v>
      </c>
      <c r="B34" s="294">
        <v>872200</v>
      </c>
      <c r="C34" s="294">
        <v>982800</v>
      </c>
      <c r="D34" s="294">
        <v>890400</v>
      </c>
      <c r="E34" s="294">
        <v>1080800</v>
      </c>
      <c r="F34" s="294">
        <v>905800</v>
      </c>
      <c r="G34" s="294">
        <v>910000</v>
      </c>
      <c r="H34" s="294">
        <v>996800</v>
      </c>
      <c r="I34" s="294">
        <v>814800</v>
      </c>
      <c r="J34" s="294">
        <v>950600</v>
      </c>
      <c r="K34" s="294">
        <v>848400</v>
      </c>
      <c r="L34" s="294">
        <v>889000</v>
      </c>
      <c r="M34" s="294">
        <v>645657</v>
      </c>
      <c r="N34" s="69">
        <f t="shared" si="1"/>
        <v>10787257</v>
      </c>
    </row>
    <row r="35" spans="1:14">
      <c r="A35" s="90" t="s">
        <v>449</v>
      </c>
      <c r="B35" s="294">
        <v>737100</v>
      </c>
      <c r="C35" s="294">
        <v>1125600</v>
      </c>
      <c r="D35" s="294">
        <v>1106700</v>
      </c>
      <c r="E35" s="294">
        <v>1283100</v>
      </c>
      <c r="F35" s="294">
        <v>942900</v>
      </c>
      <c r="G35" s="294">
        <v>1033200</v>
      </c>
      <c r="H35" s="294">
        <v>1106700</v>
      </c>
      <c r="I35" s="294">
        <v>1001700</v>
      </c>
      <c r="J35" s="294">
        <v>1155000</v>
      </c>
      <c r="K35" s="294">
        <v>926200</v>
      </c>
      <c r="L35" s="294">
        <v>1008000</v>
      </c>
      <c r="M35" s="294">
        <v>911400</v>
      </c>
      <c r="N35" s="69">
        <f t="shared" si="1"/>
        <v>12337600</v>
      </c>
    </row>
    <row r="36" spans="1:14">
      <c r="A36" s="90" t="s">
        <v>450</v>
      </c>
      <c r="B36" s="294">
        <v>701400</v>
      </c>
      <c r="C36" s="294">
        <v>1087100</v>
      </c>
      <c r="D36" s="294">
        <v>866600</v>
      </c>
      <c r="E36" s="294">
        <v>1066100</v>
      </c>
      <c r="F36" s="294">
        <v>996800</v>
      </c>
      <c r="G36" s="294">
        <v>980000</v>
      </c>
      <c r="H36" s="294">
        <v>1106000</v>
      </c>
      <c r="I36" s="294">
        <v>1047200</v>
      </c>
      <c r="J36" s="294">
        <v>1045800</v>
      </c>
      <c r="K36" s="294">
        <v>980000</v>
      </c>
      <c r="L36" s="294">
        <v>945000</v>
      </c>
      <c r="M36" s="294">
        <v>848400</v>
      </c>
      <c r="N36" s="69">
        <f t="shared" si="1"/>
        <v>11670400</v>
      </c>
    </row>
    <row r="37" spans="1:14">
      <c r="A37" s="90" t="s">
        <v>458</v>
      </c>
      <c r="B37" s="294">
        <v>945000</v>
      </c>
      <c r="C37" s="294">
        <v>1044400</v>
      </c>
      <c r="D37" s="294">
        <v>983500</v>
      </c>
      <c r="E37" s="294">
        <v>992600</v>
      </c>
      <c r="F37" s="294">
        <v>998200</v>
      </c>
      <c r="G37" s="294">
        <v>1003100</v>
      </c>
      <c r="H37" s="294">
        <v>1118600</v>
      </c>
      <c r="I37" s="294">
        <v>1021300</v>
      </c>
      <c r="J37" s="294">
        <v>1008000</v>
      </c>
      <c r="K37" s="294">
        <v>968800</v>
      </c>
      <c r="L37" s="294">
        <v>947800</v>
      </c>
      <c r="M37" s="294">
        <v>856100</v>
      </c>
      <c r="N37" s="69">
        <f>SUM(B37:M37)</f>
        <v>11887400</v>
      </c>
    </row>
    <row r="38" spans="1:14">
      <c r="A38" s="90" t="s">
        <v>494</v>
      </c>
      <c r="B38" s="294">
        <v>812000</v>
      </c>
      <c r="C38" s="294">
        <v>1013600</v>
      </c>
      <c r="D38" s="294">
        <v>978600</v>
      </c>
      <c r="E38" s="294">
        <v>975100</v>
      </c>
      <c r="F38" s="294">
        <v>963200</v>
      </c>
      <c r="G38" s="294">
        <v>918400</v>
      </c>
      <c r="H38" s="294">
        <v>1080100</v>
      </c>
      <c r="I38" s="294">
        <v>929600</v>
      </c>
      <c r="J38" s="294">
        <v>1026200</v>
      </c>
      <c r="K38" s="294">
        <v>931000</v>
      </c>
      <c r="L38" s="294">
        <v>1026200</v>
      </c>
      <c r="M38" s="294">
        <v>800100</v>
      </c>
      <c r="N38" s="69">
        <f t="shared" si="1"/>
        <v>11454100</v>
      </c>
    </row>
    <row r="39" spans="1:14">
      <c r="A39" s="90" t="s">
        <v>519</v>
      </c>
      <c r="B39" s="294">
        <v>912800</v>
      </c>
      <c r="C39" s="294">
        <v>1193500</v>
      </c>
      <c r="D39" s="294">
        <v>866600</v>
      </c>
      <c r="E39" s="294">
        <v>1045800</v>
      </c>
      <c r="F39" s="294">
        <v>947800</v>
      </c>
      <c r="G39" s="294">
        <v>1035300</v>
      </c>
      <c r="H39" s="294">
        <v>1059100</v>
      </c>
      <c r="I39" s="294">
        <v>953400</v>
      </c>
      <c r="J39" s="294">
        <v>1057700</v>
      </c>
      <c r="K39" s="294">
        <v>971600</v>
      </c>
      <c r="L39" s="294">
        <v>1005200</v>
      </c>
      <c r="M39" s="294">
        <v>867300</v>
      </c>
      <c r="N39" s="69">
        <f t="shared" si="1"/>
        <v>11916100</v>
      </c>
    </row>
    <row r="40" spans="1:14">
      <c r="A40" s="90"/>
      <c r="B40" s="294"/>
      <c r="C40" s="294"/>
      <c r="D40" s="294"/>
      <c r="E40" s="294"/>
      <c r="F40" s="294"/>
      <c r="G40" s="294"/>
      <c r="H40" s="294"/>
      <c r="I40" s="294"/>
      <c r="J40" s="294"/>
      <c r="K40" s="294"/>
      <c r="L40" s="294"/>
      <c r="M40" s="294"/>
      <c r="N40" s="69"/>
    </row>
    <row r="41" spans="1:14">
      <c r="B41" s="294"/>
      <c r="C41" s="294"/>
      <c r="D41" s="294"/>
      <c r="E41" s="294"/>
      <c r="F41" s="294"/>
      <c r="G41" s="294"/>
      <c r="H41" s="294"/>
      <c r="I41" s="294"/>
      <c r="J41" s="294"/>
      <c r="K41" s="294"/>
      <c r="L41" s="294"/>
      <c r="M41" s="294"/>
      <c r="N41" s="69"/>
    </row>
  </sheetData>
  <phoneticPr fontId="0" type="noConversion"/>
  <printOptions gridLines="1" gridLinesSet="0"/>
  <pageMargins left="0.75" right="0.75" top="1" bottom="1" header="0.5" footer="0.5"/>
  <pageSetup scale="75" orientation="landscape" r:id="rId1"/>
  <headerFooter alignWithMargins="0">
    <oddHeader>&amp;A</oddHeader>
    <oddFooter>Page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 codeName="Sheet10">
    <pageSetUpPr fitToPage="1"/>
  </sheetPr>
  <dimension ref="A1:N30"/>
  <sheetViews>
    <sheetView zoomScale="75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E1" sqref="E1"/>
    </sheetView>
  </sheetViews>
  <sheetFormatPr defaultRowHeight="12.75"/>
  <cols>
    <col min="1" max="1" width="18.85546875" customWidth="1"/>
    <col min="2" max="3" width="8.28515625" bestFit="1" customWidth="1"/>
    <col min="4" max="4" width="9.7109375" bestFit="1" customWidth="1"/>
    <col min="5" max="5" width="10.140625" bestFit="1" customWidth="1"/>
    <col min="6" max="7" width="11.140625" bestFit="1" customWidth="1"/>
    <col min="8" max="9" width="11.5703125" bestFit="1" customWidth="1"/>
    <col min="10" max="11" width="11.140625" bestFit="1" customWidth="1"/>
    <col min="12" max="13" width="10.7109375" bestFit="1" customWidth="1"/>
    <col min="14" max="14" width="11.7109375" bestFit="1" customWidth="1"/>
  </cols>
  <sheetData>
    <row r="1" spans="1:14">
      <c r="E1" s="532"/>
    </row>
    <row r="2" spans="1:14">
      <c r="A2" s="5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3"/>
    </row>
    <row r="3" spans="1:14">
      <c r="A3" s="603" t="s">
        <v>67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3"/>
    </row>
    <row r="4" spans="1:14" ht="13.5" thickBot="1">
      <c r="A4" s="604"/>
      <c r="B4" s="12" t="s">
        <v>0</v>
      </c>
      <c r="C4" s="12" t="s">
        <v>1</v>
      </c>
      <c r="D4" s="12" t="s">
        <v>2</v>
      </c>
      <c r="E4" s="12" t="s">
        <v>3</v>
      </c>
      <c r="F4" s="12" t="s">
        <v>4</v>
      </c>
      <c r="G4" s="12" t="s">
        <v>5</v>
      </c>
      <c r="H4" s="12" t="s">
        <v>6</v>
      </c>
      <c r="I4" s="12" t="s">
        <v>7</v>
      </c>
      <c r="J4" s="12" t="s">
        <v>8</v>
      </c>
      <c r="K4" s="12" t="s">
        <v>9</v>
      </c>
      <c r="L4" s="12" t="s">
        <v>10</v>
      </c>
      <c r="M4" s="12" t="s">
        <v>11</v>
      </c>
      <c r="N4" s="14" t="s">
        <v>30</v>
      </c>
    </row>
    <row r="5" spans="1:14">
      <c r="A5" s="6" t="s">
        <v>64</v>
      </c>
      <c r="B5" s="122">
        <v>0</v>
      </c>
      <c r="C5" s="122">
        <v>0</v>
      </c>
      <c r="D5" s="122">
        <v>1671.63</v>
      </c>
      <c r="E5" s="122">
        <v>7253.34</v>
      </c>
      <c r="F5" s="122">
        <v>17630.36</v>
      </c>
      <c r="G5" s="122">
        <v>32716.959999999999</v>
      </c>
      <c r="H5" s="122">
        <v>42366.81</v>
      </c>
      <c r="I5" s="122">
        <v>44027.01</v>
      </c>
      <c r="J5" s="122">
        <v>34538.379999999997</v>
      </c>
      <c r="K5" s="122">
        <v>27473.599999999999</v>
      </c>
      <c r="L5" s="122">
        <v>16807.89</v>
      </c>
      <c r="M5" s="122">
        <v>5040.5200000000004</v>
      </c>
      <c r="N5" s="122">
        <f t="shared" ref="N5:N15" si="0">SUM(B5:M5)</f>
        <v>229526.50000000003</v>
      </c>
    </row>
    <row r="6" spans="1:14">
      <c r="A6" s="6" t="s">
        <v>68</v>
      </c>
      <c r="B6" s="122">
        <v>0</v>
      </c>
      <c r="C6" s="122">
        <v>0</v>
      </c>
      <c r="D6" s="122">
        <v>291.5</v>
      </c>
      <c r="E6" s="122">
        <v>3837.1</v>
      </c>
      <c r="F6" s="122">
        <v>16924.990000000002</v>
      </c>
      <c r="G6" s="122">
        <v>31880.28</v>
      </c>
      <c r="H6" s="122">
        <v>46660.15</v>
      </c>
      <c r="I6" s="122">
        <v>52425.97</v>
      </c>
      <c r="J6" s="122">
        <v>38789.760000000002</v>
      </c>
      <c r="K6" s="122">
        <v>38003.129999999997</v>
      </c>
      <c r="L6" s="122">
        <v>15708.77</v>
      </c>
      <c r="M6" s="122">
        <v>3301.84</v>
      </c>
      <c r="N6" s="122">
        <f t="shared" si="0"/>
        <v>247823.49</v>
      </c>
    </row>
    <row r="7" spans="1:14">
      <c r="A7" s="7" t="s">
        <v>31</v>
      </c>
      <c r="B7" s="122">
        <v>290.13</v>
      </c>
      <c r="C7" s="122">
        <v>290.13</v>
      </c>
      <c r="D7" s="122">
        <v>290.13</v>
      </c>
      <c r="E7" s="122">
        <v>2866.55</v>
      </c>
      <c r="F7" s="122">
        <v>13910.59</v>
      </c>
      <c r="G7" s="122">
        <v>24580.49</v>
      </c>
      <c r="H7" s="122">
        <v>26474.94</v>
      </c>
      <c r="I7" s="122">
        <v>29092.45</v>
      </c>
      <c r="J7" s="122">
        <v>23169.06</v>
      </c>
      <c r="K7" s="122">
        <v>19766.86</v>
      </c>
      <c r="L7" s="122">
        <v>14441.43</v>
      </c>
      <c r="M7" s="122">
        <v>4598</v>
      </c>
      <c r="N7" s="122">
        <f t="shared" si="0"/>
        <v>159770.76</v>
      </c>
    </row>
    <row r="8" spans="1:14">
      <c r="A8" s="6" t="s">
        <v>32</v>
      </c>
      <c r="B8" s="122">
        <v>288.75</v>
      </c>
      <c r="C8" s="122">
        <v>288.75</v>
      </c>
      <c r="D8" s="122">
        <v>1392.5740000000001</v>
      </c>
      <c r="E8" s="122">
        <v>8056.64</v>
      </c>
      <c r="F8" s="122">
        <v>24858.19</v>
      </c>
      <c r="G8" s="122">
        <v>33944.9</v>
      </c>
      <c r="H8" s="122">
        <v>36597.08</v>
      </c>
      <c r="I8" s="122">
        <v>37666.339999999997</v>
      </c>
      <c r="J8" s="122">
        <v>40480.239999999998</v>
      </c>
      <c r="K8" s="122">
        <v>39229.839999999997</v>
      </c>
      <c r="L8" s="122">
        <v>28818.27</v>
      </c>
      <c r="M8" s="122">
        <v>7191.31</v>
      </c>
      <c r="N8" s="122">
        <f t="shared" si="0"/>
        <v>258812.88399999996</v>
      </c>
    </row>
    <row r="9" spans="1:14">
      <c r="A9" s="7" t="s">
        <v>33</v>
      </c>
      <c r="B9" s="122">
        <v>293.25</v>
      </c>
      <c r="C9" s="122">
        <v>293.25</v>
      </c>
      <c r="D9" s="122">
        <v>697.82</v>
      </c>
      <c r="E9" s="122">
        <v>6527.91</v>
      </c>
      <c r="F9" s="122">
        <v>19150.61</v>
      </c>
      <c r="G9" s="122">
        <v>29301.55</v>
      </c>
      <c r="H9" s="122">
        <v>31912.22</v>
      </c>
      <c r="I9" s="122">
        <v>40397.79</v>
      </c>
      <c r="J9" s="122">
        <v>35193.32</v>
      </c>
      <c r="K9" s="122">
        <v>27280</v>
      </c>
      <c r="L9" s="122">
        <v>16273.2</v>
      </c>
      <c r="M9" s="122">
        <v>4786.13</v>
      </c>
      <c r="N9" s="122">
        <f t="shared" si="0"/>
        <v>212107.05000000002</v>
      </c>
    </row>
    <row r="10" spans="1:14">
      <c r="A10" s="7" t="s">
        <v>34</v>
      </c>
      <c r="B10" s="122">
        <v>288.75</v>
      </c>
      <c r="C10" s="122">
        <v>288.75</v>
      </c>
      <c r="D10" s="122">
        <v>1151.0999999999999</v>
      </c>
      <c r="E10" s="122">
        <v>2292.35</v>
      </c>
      <c r="F10" s="122">
        <v>10657.36</v>
      </c>
      <c r="G10" s="122">
        <v>21758.26</v>
      </c>
      <c r="H10" s="122">
        <v>30701.63</v>
      </c>
      <c r="I10" s="122">
        <v>27292.94</v>
      </c>
      <c r="J10" s="122">
        <v>19216.89</v>
      </c>
      <c r="K10" s="122">
        <v>20358.27</v>
      </c>
      <c r="L10" s="122">
        <v>16902.560000000001</v>
      </c>
      <c r="M10" s="122">
        <v>4753.26</v>
      </c>
      <c r="N10" s="122">
        <f t="shared" si="0"/>
        <v>155662.12</v>
      </c>
    </row>
    <row r="11" spans="1:14">
      <c r="A11" s="7" t="s">
        <v>35</v>
      </c>
      <c r="B11" s="122">
        <v>288.75</v>
      </c>
      <c r="C11" s="122">
        <v>288.75</v>
      </c>
      <c r="D11" s="122">
        <v>288.75</v>
      </c>
      <c r="E11" s="122">
        <v>4332.9399999999996</v>
      </c>
      <c r="F11" s="122">
        <v>14332.72</v>
      </c>
      <c r="G11" s="122">
        <v>26743.22</v>
      </c>
      <c r="H11" s="122">
        <v>26190.43</v>
      </c>
      <c r="I11" s="122">
        <v>32872.050000000003</v>
      </c>
      <c r="J11" s="122">
        <v>38188.42</v>
      </c>
      <c r="K11" s="122">
        <v>34119.99</v>
      </c>
      <c r="L11" s="122">
        <v>26100.05</v>
      </c>
      <c r="M11" s="122">
        <v>8030.53</v>
      </c>
      <c r="N11" s="122">
        <f t="shared" si="0"/>
        <v>211776.59999999998</v>
      </c>
    </row>
    <row r="12" spans="1:14">
      <c r="A12" s="7" t="s">
        <v>36</v>
      </c>
      <c r="B12" s="122">
        <v>288.75</v>
      </c>
      <c r="C12" s="122">
        <v>288.75</v>
      </c>
      <c r="D12" s="122">
        <v>288.75</v>
      </c>
      <c r="E12" s="122">
        <v>288.75</v>
      </c>
      <c r="F12" s="122">
        <v>18560.04</v>
      </c>
      <c r="G12" s="122">
        <v>45036.62</v>
      </c>
      <c r="H12" s="122">
        <v>56549.53</v>
      </c>
      <c r="I12" s="122">
        <v>76119.06</v>
      </c>
      <c r="J12" s="122">
        <v>41494.11</v>
      </c>
      <c r="K12" s="122">
        <v>25949.29</v>
      </c>
      <c r="L12" s="122">
        <v>16174.57</v>
      </c>
      <c r="M12" s="122">
        <v>12108.04</v>
      </c>
      <c r="N12" s="122">
        <f t="shared" si="0"/>
        <v>293146.25999999995</v>
      </c>
    </row>
    <row r="13" spans="1:14">
      <c r="A13" s="8" t="s">
        <v>37</v>
      </c>
      <c r="B13" s="123">
        <v>288.75</v>
      </c>
      <c r="C13" s="123">
        <v>288.75</v>
      </c>
      <c r="D13" s="123">
        <v>288.75</v>
      </c>
      <c r="E13" s="123">
        <v>288.75</v>
      </c>
      <c r="F13" s="123">
        <v>20555.82</v>
      </c>
      <c r="G13" s="123">
        <v>45722.06</v>
      </c>
      <c r="H13" s="123">
        <v>38797.910000000003</v>
      </c>
      <c r="I13" s="123">
        <v>35106.449999999997</v>
      </c>
      <c r="J13" s="123">
        <v>26520.32</v>
      </c>
      <c r="K13" s="123">
        <v>31884.38</v>
      </c>
      <c r="L13" s="123">
        <v>16972</v>
      </c>
      <c r="M13" s="123">
        <v>4120.46</v>
      </c>
      <c r="N13" s="122">
        <f t="shared" si="0"/>
        <v>220834.4</v>
      </c>
    </row>
    <row r="14" spans="1:14">
      <c r="A14" s="8" t="s">
        <v>38</v>
      </c>
      <c r="B14" s="123">
        <v>288.75</v>
      </c>
      <c r="C14" s="123">
        <v>288.76</v>
      </c>
      <c r="D14" s="123">
        <v>288.75</v>
      </c>
      <c r="E14" s="123">
        <v>2018.24</v>
      </c>
      <c r="F14" s="123">
        <v>18469.39</v>
      </c>
      <c r="G14" s="123">
        <v>26298.58</v>
      </c>
      <c r="H14" s="123">
        <v>37553.089999999997</v>
      </c>
      <c r="I14" s="123">
        <v>41044.129999999997</v>
      </c>
      <c r="J14" s="123">
        <v>27808.52</v>
      </c>
      <c r="K14" s="123">
        <v>24531.35</v>
      </c>
      <c r="L14" s="123">
        <v>15853.85</v>
      </c>
      <c r="M14" s="123">
        <v>5009.3599999999997</v>
      </c>
      <c r="N14" s="122">
        <f t="shared" si="0"/>
        <v>199452.77</v>
      </c>
    </row>
    <row r="15" spans="1:14">
      <c r="A15" s="78" t="s">
        <v>162</v>
      </c>
      <c r="B15" s="124">
        <v>288.75</v>
      </c>
      <c r="C15" s="124">
        <v>288.755</v>
      </c>
      <c r="D15" s="124">
        <v>288.75</v>
      </c>
      <c r="E15" s="124">
        <v>983.5</v>
      </c>
      <c r="F15" s="124">
        <v>20197.96</v>
      </c>
      <c r="G15" s="124">
        <v>28859.89</v>
      </c>
      <c r="H15" s="124">
        <v>35145.449999999997</v>
      </c>
      <c r="I15" s="124">
        <v>42257.41</v>
      </c>
      <c r="J15" s="124">
        <v>36007.86</v>
      </c>
      <c r="K15" s="124">
        <v>28525.759999999998</v>
      </c>
      <c r="L15" s="124">
        <v>24229.360000000001</v>
      </c>
      <c r="M15" s="124">
        <v>4339.67</v>
      </c>
      <c r="N15" s="122">
        <f t="shared" si="0"/>
        <v>221413.11500000002</v>
      </c>
    </row>
    <row r="16" spans="1:14">
      <c r="A16" t="s">
        <v>161</v>
      </c>
      <c r="B16" s="87">
        <v>288.75</v>
      </c>
      <c r="C16" s="87">
        <v>288.75</v>
      </c>
      <c r="D16" s="87">
        <v>308.75</v>
      </c>
      <c r="E16" s="87">
        <v>2596.64</v>
      </c>
      <c r="F16" s="87">
        <v>35860.04</v>
      </c>
      <c r="G16" s="87">
        <v>59465.72</v>
      </c>
      <c r="H16" s="87">
        <v>96326.24</v>
      </c>
      <c r="I16" s="87">
        <v>93743.34</v>
      </c>
      <c r="J16" s="87">
        <v>88344.05</v>
      </c>
      <c r="K16" s="87">
        <v>70520.56</v>
      </c>
      <c r="L16" s="87">
        <v>45814.83</v>
      </c>
      <c r="M16" s="87">
        <v>13404.37</v>
      </c>
      <c r="N16" s="87">
        <f>SUM(B16:M16)</f>
        <v>506962.04</v>
      </c>
    </row>
    <row r="17" spans="1:14">
      <c r="A17" s="78" t="s">
        <v>166</v>
      </c>
      <c r="B17" s="124">
        <v>288.75</v>
      </c>
      <c r="C17" s="124">
        <v>288.755</v>
      </c>
      <c r="D17" s="124">
        <v>288.75</v>
      </c>
      <c r="E17" s="124">
        <v>3851.42</v>
      </c>
      <c r="F17" s="124">
        <v>18462.32</v>
      </c>
      <c r="G17" s="124">
        <v>35100.82</v>
      </c>
      <c r="H17" s="124">
        <v>54182.28</v>
      </c>
      <c r="I17" s="124">
        <v>59123.34</v>
      </c>
      <c r="J17" s="124">
        <v>51217.99</v>
      </c>
      <c r="K17" s="124">
        <v>52101.56</v>
      </c>
      <c r="L17" s="124">
        <v>35390.550000000003</v>
      </c>
      <c r="M17" s="124">
        <v>16235.31</v>
      </c>
      <c r="N17" s="125">
        <v>326531.84499999997</v>
      </c>
    </row>
    <row r="18" spans="1:14">
      <c r="A18" s="78" t="s">
        <v>207</v>
      </c>
      <c r="B18" s="149">
        <v>309.25</v>
      </c>
      <c r="C18" s="149">
        <v>309.25</v>
      </c>
      <c r="D18" s="149">
        <v>309.25</v>
      </c>
      <c r="E18" s="149">
        <v>4947.46</v>
      </c>
      <c r="F18" s="149">
        <v>39439.269999999997</v>
      </c>
      <c r="G18" s="149">
        <v>56828.56</v>
      </c>
      <c r="H18" s="149">
        <v>52623.49</v>
      </c>
      <c r="I18" s="149">
        <v>67888.929999999993</v>
      </c>
      <c r="J18" s="149">
        <v>71725.89</v>
      </c>
      <c r="K18" s="149">
        <v>70425.72</v>
      </c>
      <c r="L18" s="149">
        <v>51597.23</v>
      </c>
      <c r="M18" s="149">
        <v>16045.48</v>
      </c>
      <c r="N18" s="82">
        <f t="shared" ref="N18:N23" si="1">SUM(B18:M18)</f>
        <v>432449.77999999991</v>
      </c>
    </row>
    <row r="19" spans="1:14">
      <c r="A19" s="78" t="s">
        <v>279</v>
      </c>
      <c r="B19" s="149">
        <v>309.25</v>
      </c>
      <c r="C19" s="149">
        <v>314.99</v>
      </c>
      <c r="D19" s="149">
        <v>309.25</v>
      </c>
      <c r="E19" s="149">
        <v>9400.35</v>
      </c>
      <c r="F19" s="149">
        <v>34165.61</v>
      </c>
      <c r="G19" s="149">
        <v>62379.69</v>
      </c>
      <c r="H19" s="149">
        <v>58806.6</v>
      </c>
      <c r="I19" s="149">
        <v>78433.710000000006</v>
      </c>
      <c r="J19" s="149">
        <v>73578.58</v>
      </c>
      <c r="K19" s="149">
        <v>54570.84</v>
      </c>
      <c r="L19" s="149">
        <v>37895.53</v>
      </c>
      <c r="M19" s="149">
        <v>13590.76</v>
      </c>
      <c r="N19" s="82">
        <f t="shared" si="1"/>
        <v>423755.16000000003</v>
      </c>
    </row>
    <row r="20" spans="1:14" s="299" customFormat="1">
      <c r="A20" s="78" t="s">
        <v>299</v>
      </c>
      <c r="B20" s="78">
        <v>388.45</v>
      </c>
      <c r="C20" s="78">
        <v>309.75</v>
      </c>
      <c r="D20" s="78">
        <v>309.75</v>
      </c>
      <c r="E20" s="78">
        <v>331.77</v>
      </c>
      <c r="F20" s="78">
        <v>34964.75</v>
      </c>
      <c r="G20" s="78">
        <v>47832.31</v>
      </c>
      <c r="H20" s="78">
        <v>83109.119999999995</v>
      </c>
      <c r="I20" s="78">
        <v>95724.32</v>
      </c>
      <c r="J20" s="78">
        <v>64052.589</v>
      </c>
      <c r="K20" s="78">
        <v>76128.133000000002</v>
      </c>
      <c r="L20" s="78">
        <v>47603.27</v>
      </c>
      <c r="M20" s="78">
        <v>11156.42</v>
      </c>
      <c r="N20" s="78">
        <f t="shared" si="1"/>
        <v>461910.63199999993</v>
      </c>
    </row>
    <row r="21" spans="1:14" s="78" customFormat="1">
      <c r="A21" s="78" t="s">
        <v>300</v>
      </c>
      <c r="B21" s="78">
        <v>324.12</v>
      </c>
      <c r="C21" s="78">
        <v>324.12</v>
      </c>
      <c r="D21" s="78">
        <v>324.12</v>
      </c>
      <c r="E21" s="78">
        <v>14185.86</v>
      </c>
      <c r="F21" s="78">
        <v>110146.71</v>
      </c>
      <c r="G21" s="78">
        <v>148118.98000000001</v>
      </c>
      <c r="H21" s="78">
        <v>129734.79</v>
      </c>
      <c r="I21" s="78">
        <v>89203.79</v>
      </c>
      <c r="J21" s="78">
        <v>96262.032000000007</v>
      </c>
      <c r="K21" s="78">
        <v>86711.97</v>
      </c>
      <c r="L21" s="78">
        <v>30262.51</v>
      </c>
      <c r="M21" s="78">
        <v>9876.74</v>
      </c>
      <c r="N21" s="78">
        <f t="shared" si="1"/>
        <v>715475.74199999997</v>
      </c>
    </row>
    <row r="22" spans="1:14" s="299" customFormat="1">
      <c r="A22" s="78" t="s">
        <v>322</v>
      </c>
      <c r="B22" s="78">
        <v>499.54</v>
      </c>
      <c r="C22" s="78">
        <v>309.75</v>
      </c>
      <c r="D22" s="78">
        <v>309.75</v>
      </c>
      <c r="E22" s="78">
        <v>18234.87</v>
      </c>
      <c r="F22" s="78">
        <v>39441.440000000002</v>
      </c>
      <c r="G22" s="78">
        <v>71395.899999999994</v>
      </c>
      <c r="H22" s="78">
        <v>66739.42</v>
      </c>
      <c r="I22" s="78">
        <v>73583.12</v>
      </c>
      <c r="J22" s="78">
        <v>77936.649999999994</v>
      </c>
      <c r="K22" s="78">
        <v>21428.1</v>
      </c>
      <c r="L22" s="78">
        <v>44747.94</v>
      </c>
      <c r="M22" s="78">
        <v>6513.7</v>
      </c>
      <c r="N22" s="78">
        <f t="shared" si="1"/>
        <v>421140.17999999993</v>
      </c>
    </row>
    <row r="23" spans="1:14" s="299" customFormat="1">
      <c r="A23" s="78" t="s">
        <v>367</v>
      </c>
      <c r="B23" s="78">
        <v>306.20999999999998</v>
      </c>
      <c r="C23" s="78">
        <v>306.20999999999998</v>
      </c>
      <c r="D23" s="78">
        <v>306.20999999999998</v>
      </c>
      <c r="E23" s="78">
        <v>306.20999999999998</v>
      </c>
      <c r="F23" s="78">
        <v>36287.47</v>
      </c>
      <c r="G23" s="78">
        <v>92517.5</v>
      </c>
      <c r="H23" s="78">
        <v>133687.67000000001</v>
      </c>
      <c r="I23" s="78">
        <v>149480.89000000001</v>
      </c>
      <c r="J23" s="78">
        <v>151876.01</v>
      </c>
      <c r="K23" s="78">
        <v>122751.25</v>
      </c>
      <c r="L23" s="78">
        <v>77871.16</v>
      </c>
      <c r="M23" s="78">
        <v>21216.32</v>
      </c>
      <c r="N23" s="78">
        <f t="shared" si="1"/>
        <v>786913.11</v>
      </c>
    </row>
    <row r="24" spans="1:14" s="299" customFormat="1">
      <c r="A24" s="360" t="s">
        <v>381</v>
      </c>
      <c r="B24" s="436">
        <v>311.17</v>
      </c>
      <c r="C24" s="436">
        <v>311.17</v>
      </c>
      <c r="D24" s="436">
        <v>311.17</v>
      </c>
      <c r="E24" s="436">
        <v>4061.93</v>
      </c>
      <c r="F24" s="436">
        <v>40229.89</v>
      </c>
      <c r="G24" s="436">
        <v>82558.789999999994</v>
      </c>
      <c r="H24" s="436">
        <v>98179.09</v>
      </c>
      <c r="I24" s="436">
        <v>103166.7</v>
      </c>
      <c r="J24" s="436">
        <v>72481.179999999993</v>
      </c>
      <c r="K24" s="436">
        <v>62952.84</v>
      </c>
      <c r="L24" s="436">
        <v>40032.85</v>
      </c>
      <c r="M24" s="436">
        <v>10177.040000000001</v>
      </c>
      <c r="N24" s="436">
        <f>SUM(B24:M24)</f>
        <v>514773.81999999989</v>
      </c>
    </row>
    <row r="25" spans="1:14" s="299" customFormat="1">
      <c r="A25" s="360" t="s">
        <v>425</v>
      </c>
      <c r="B25" s="436">
        <v>311.17</v>
      </c>
      <c r="C25" s="436">
        <v>311.17</v>
      </c>
      <c r="D25" s="436">
        <v>311.17</v>
      </c>
      <c r="E25" s="436">
        <v>1220.71</v>
      </c>
      <c r="F25" s="436">
        <v>39543.949999999997</v>
      </c>
      <c r="G25" s="436">
        <v>46604.18</v>
      </c>
      <c r="H25" s="436">
        <v>90230.77</v>
      </c>
      <c r="I25" s="436">
        <v>120373.71</v>
      </c>
      <c r="J25" s="436">
        <v>79086.91</v>
      </c>
      <c r="K25" s="436">
        <v>47115.83</v>
      </c>
      <c r="L25" s="436">
        <v>23692.3</v>
      </c>
      <c r="M25" s="436">
        <v>12631.13</v>
      </c>
      <c r="N25" s="436">
        <f>SUM(B25:M25)</f>
        <v>461433</v>
      </c>
    </row>
    <row r="26" spans="1:14" s="299" customFormat="1">
      <c r="A26" s="360" t="s">
        <v>459</v>
      </c>
      <c r="B26" s="436">
        <v>332.59</v>
      </c>
      <c r="C26" s="436">
        <v>338.12</v>
      </c>
      <c r="D26" s="436">
        <v>332.59</v>
      </c>
      <c r="E26" s="436">
        <v>337</v>
      </c>
      <c r="F26" s="436">
        <v>21530</v>
      </c>
      <c r="G26" s="436">
        <v>57297</v>
      </c>
      <c r="H26" s="436">
        <v>100001</v>
      </c>
      <c r="I26" s="436">
        <v>90111</v>
      </c>
      <c r="J26" s="436">
        <v>76186</v>
      </c>
      <c r="K26" s="436">
        <v>69476</v>
      </c>
      <c r="L26" s="436">
        <v>68991</v>
      </c>
      <c r="M26" s="436">
        <v>9842.2199999999993</v>
      </c>
      <c r="N26" s="436">
        <f>SUM(B26:M26)</f>
        <v>494774.51999999996</v>
      </c>
    </row>
    <row r="27" spans="1:14" s="299" customFormat="1">
      <c r="A27" s="360" t="s">
        <v>495</v>
      </c>
      <c r="B27" s="436">
        <v>311.17</v>
      </c>
      <c r="C27" s="436">
        <v>311.17</v>
      </c>
      <c r="D27" s="436">
        <v>311.17</v>
      </c>
      <c r="E27" s="436">
        <v>921</v>
      </c>
      <c r="F27" s="436">
        <v>24175</v>
      </c>
      <c r="G27" s="436">
        <v>52924</v>
      </c>
      <c r="H27" s="436">
        <v>66790</v>
      </c>
      <c r="I27" s="436">
        <v>60419</v>
      </c>
      <c r="J27" s="436">
        <v>56345</v>
      </c>
      <c r="K27" s="436">
        <v>28973</v>
      </c>
      <c r="L27" s="436">
        <v>20384</v>
      </c>
      <c r="M27" s="436">
        <v>4172</v>
      </c>
      <c r="N27" s="436">
        <f>SUM(B27:M27)</f>
        <v>316036.51</v>
      </c>
    </row>
    <row r="28" spans="1:14" s="299" customFormat="1">
      <c r="A28" s="360" t="s">
        <v>520</v>
      </c>
      <c r="B28" s="436">
        <v>311.17</v>
      </c>
      <c r="C28" s="436">
        <v>311.17</v>
      </c>
      <c r="D28" s="436">
        <v>311.17</v>
      </c>
      <c r="E28" s="436">
        <v>2573</v>
      </c>
      <c r="F28" s="436">
        <v>28322</v>
      </c>
      <c r="G28" s="436">
        <v>46005</v>
      </c>
      <c r="H28" s="436">
        <v>63048</v>
      </c>
      <c r="I28" s="436">
        <v>63343</v>
      </c>
      <c r="J28" s="436">
        <v>60296</v>
      </c>
      <c r="K28" s="436">
        <v>71437</v>
      </c>
      <c r="L28" s="436">
        <v>43192</v>
      </c>
      <c r="M28" s="436">
        <v>14660</v>
      </c>
      <c r="N28" s="436">
        <f>SUM(B28:M28)</f>
        <v>393809.51</v>
      </c>
    </row>
    <row r="29" spans="1:14" s="299" customFormat="1" ht="13.5" thickBot="1">
      <c r="A29" s="319" t="s">
        <v>323</v>
      </c>
      <c r="B29" s="301">
        <f>SUM(B24:B28)/5</f>
        <v>315.45400000000006</v>
      </c>
      <c r="C29" s="301">
        <f t="shared" ref="C29:N29" si="2">SUM(C24:C28)/5</f>
        <v>316.56000000000006</v>
      </c>
      <c r="D29" s="301">
        <f t="shared" si="2"/>
        <v>315.45400000000006</v>
      </c>
      <c r="E29" s="301">
        <f t="shared" si="2"/>
        <v>1822.7279999999998</v>
      </c>
      <c r="F29" s="301">
        <f t="shared" si="2"/>
        <v>30760.167999999998</v>
      </c>
      <c r="G29" s="301">
        <f t="shared" si="2"/>
        <v>57077.793999999994</v>
      </c>
      <c r="H29" s="301">
        <f t="shared" si="2"/>
        <v>83649.771999999997</v>
      </c>
      <c r="I29" s="301">
        <f t="shared" si="2"/>
        <v>87482.682000000001</v>
      </c>
      <c r="J29" s="301">
        <f t="shared" si="2"/>
        <v>68879.017999999996</v>
      </c>
      <c r="K29" s="301">
        <f t="shared" si="2"/>
        <v>55990.933999999994</v>
      </c>
      <c r="L29" s="301">
        <f t="shared" si="2"/>
        <v>39258.43</v>
      </c>
      <c r="M29" s="301">
        <f t="shared" si="2"/>
        <v>10296.477999999999</v>
      </c>
      <c r="N29" s="301">
        <f t="shared" si="2"/>
        <v>436165.47199999995</v>
      </c>
    </row>
    <row r="30" spans="1:14" ht="20.25" customHeight="1" thickTop="1">
      <c r="A30" s="10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</row>
  </sheetData>
  <mergeCells count="1">
    <mergeCell ref="A3:A4"/>
  </mergeCells>
  <phoneticPr fontId="0" type="noConversion"/>
  <printOptions gridLines="1" gridLinesSet="0"/>
  <pageMargins left="0" right="0" top="0.75" bottom="0.75" header="0.3" footer="0.3"/>
  <pageSetup scale="88" orientation="landscape" r:id="rId1"/>
  <headerFooter alignWithMargins="0">
    <oddHeader>&amp;A</oddHeader>
    <oddFooter>Page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 codeName="Sheet11"/>
  <dimension ref="A1:N81"/>
  <sheetViews>
    <sheetView view="pageBreakPreview" topLeftCell="A10" zoomScale="75" zoomScaleNormal="100" workbookViewId="0">
      <selection activeCell="D76" sqref="D76"/>
    </sheetView>
  </sheetViews>
  <sheetFormatPr defaultRowHeight="12.75"/>
  <cols>
    <col min="1" max="1" width="24.85546875" customWidth="1"/>
    <col min="2" max="4" width="11.28515625" customWidth="1"/>
    <col min="5" max="5" width="12.42578125" customWidth="1"/>
    <col min="6" max="7" width="12.140625" bestFit="1" customWidth="1"/>
    <col min="8" max="8" width="13" customWidth="1"/>
    <col min="9" max="9" width="12.85546875" customWidth="1"/>
    <col min="10" max="10" width="15.140625" customWidth="1"/>
    <col min="11" max="11" width="12.28515625" customWidth="1"/>
    <col min="12" max="13" width="12" customWidth="1"/>
    <col min="14" max="14" width="12.85546875" customWidth="1"/>
  </cols>
  <sheetData>
    <row r="1" spans="1:14" ht="15">
      <c r="A1" s="19" t="s">
        <v>29</v>
      </c>
      <c r="B1" s="20" t="s">
        <v>0</v>
      </c>
      <c r="C1" s="20" t="s">
        <v>1</v>
      </c>
      <c r="D1" s="20" t="s">
        <v>2</v>
      </c>
      <c r="E1" s="20" t="s">
        <v>3</v>
      </c>
      <c r="F1" s="20" t="s">
        <v>4</v>
      </c>
      <c r="G1" s="20" t="s">
        <v>5</v>
      </c>
      <c r="H1" s="20" t="s">
        <v>6</v>
      </c>
      <c r="I1" s="20" t="s">
        <v>7</v>
      </c>
      <c r="J1" s="20" t="s">
        <v>8</v>
      </c>
      <c r="K1" s="20" t="s">
        <v>9</v>
      </c>
      <c r="L1" s="20" t="s">
        <v>10</v>
      </c>
      <c r="M1" s="20" t="s">
        <v>11</v>
      </c>
      <c r="N1" s="21" t="s">
        <v>30</v>
      </c>
    </row>
    <row r="2" spans="1:14">
      <c r="A2" s="15" t="s">
        <v>69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3" t="s">
        <v>70</v>
      </c>
    </row>
    <row r="3" spans="1:14">
      <c r="A3" s="16" t="s">
        <v>68</v>
      </c>
      <c r="B3" s="126">
        <v>614</v>
      </c>
      <c r="C3" s="126">
        <v>1002</v>
      </c>
      <c r="D3" s="126">
        <v>0</v>
      </c>
      <c r="E3" s="126">
        <v>1928</v>
      </c>
      <c r="F3" s="126">
        <v>7874</v>
      </c>
      <c r="G3" s="126">
        <v>11939</v>
      </c>
      <c r="H3" s="126">
        <v>17525</v>
      </c>
      <c r="I3" s="126">
        <v>19717</v>
      </c>
      <c r="J3" s="126">
        <v>14558</v>
      </c>
      <c r="K3" s="126">
        <v>14259</v>
      </c>
      <c r="L3" s="126">
        <v>7891</v>
      </c>
      <c r="M3" s="126">
        <v>1431</v>
      </c>
      <c r="N3" s="126">
        <f t="shared" ref="N3:N11" si="0">SUM(B3:M3)</f>
        <v>98738</v>
      </c>
    </row>
    <row r="4" spans="1:14">
      <c r="A4" s="17" t="s">
        <v>31</v>
      </c>
      <c r="B4" s="126">
        <v>0</v>
      </c>
      <c r="C4" s="126">
        <v>0</v>
      </c>
      <c r="D4" s="126">
        <v>0</v>
      </c>
      <c r="E4" s="126">
        <v>1202</v>
      </c>
      <c r="F4" s="126">
        <v>7265</v>
      </c>
      <c r="G4" s="126">
        <v>17945</v>
      </c>
      <c r="H4" s="126">
        <v>14660</v>
      </c>
      <c r="I4" s="126">
        <v>14841</v>
      </c>
      <c r="J4" s="126">
        <v>13590</v>
      </c>
      <c r="K4" s="126">
        <v>11751</v>
      </c>
      <c r="L4" s="126">
        <v>8715</v>
      </c>
      <c r="M4" s="126">
        <v>2299</v>
      </c>
      <c r="N4" s="126">
        <f t="shared" si="0"/>
        <v>92268</v>
      </c>
    </row>
    <row r="5" spans="1:14">
      <c r="A5" s="16" t="s">
        <v>32</v>
      </c>
      <c r="B5" s="126">
        <v>0</v>
      </c>
      <c r="C5" s="126">
        <v>0</v>
      </c>
      <c r="D5" s="126">
        <v>409</v>
      </c>
      <c r="E5" s="126">
        <v>2964</v>
      </c>
      <c r="F5" s="126">
        <v>7393</v>
      </c>
      <c r="G5" s="126">
        <v>12550</v>
      </c>
      <c r="H5" s="126">
        <v>15372</v>
      </c>
      <c r="I5" s="126">
        <v>16846</v>
      </c>
      <c r="J5" s="126">
        <v>15458</v>
      </c>
      <c r="K5" s="126">
        <v>9169</v>
      </c>
      <c r="L5" s="126">
        <v>13671</v>
      </c>
      <c r="M5" s="126">
        <v>2144</v>
      </c>
      <c r="N5" s="126">
        <f t="shared" si="0"/>
        <v>95976</v>
      </c>
    </row>
    <row r="6" spans="1:14">
      <c r="A6" s="17" t="s">
        <v>33</v>
      </c>
      <c r="B6" s="126">
        <v>0</v>
      </c>
      <c r="C6" s="126">
        <v>0</v>
      </c>
      <c r="D6" s="126">
        <v>159</v>
      </c>
      <c r="E6" s="126">
        <v>2305</v>
      </c>
      <c r="F6" s="126">
        <v>7588</v>
      </c>
      <c r="G6" s="126">
        <v>11335</v>
      </c>
      <c r="H6" s="126">
        <v>12733</v>
      </c>
      <c r="I6" s="126">
        <v>16627</v>
      </c>
      <c r="J6" s="126">
        <v>14967</v>
      </c>
      <c r="K6" s="126">
        <v>10545</v>
      </c>
      <c r="L6" s="126">
        <v>6351</v>
      </c>
      <c r="M6" s="126">
        <v>1961</v>
      </c>
      <c r="N6" s="126">
        <f t="shared" si="0"/>
        <v>84571</v>
      </c>
    </row>
    <row r="7" spans="1:14">
      <c r="A7" s="17" t="s">
        <v>34</v>
      </c>
      <c r="B7" s="126">
        <v>0</v>
      </c>
      <c r="C7" s="126">
        <v>0</v>
      </c>
      <c r="D7" s="126">
        <v>275</v>
      </c>
      <c r="E7" s="126">
        <v>1031</v>
      </c>
      <c r="F7" s="126">
        <v>5650</v>
      </c>
      <c r="G7" s="126">
        <v>9983</v>
      </c>
      <c r="H7" s="126">
        <v>13049</v>
      </c>
      <c r="I7" s="126">
        <v>14129</v>
      </c>
      <c r="J7" s="126">
        <v>11594</v>
      </c>
      <c r="K7" s="126">
        <v>10552</v>
      </c>
      <c r="L7" s="126">
        <v>8831</v>
      </c>
      <c r="M7" s="126">
        <v>2351</v>
      </c>
      <c r="N7" s="126">
        <f t="shared" si="0"/>
        <v>77445</v>
      </c>
    </row>
    <row r="8" spans="1:14">
      <c r="A8" s="17" t="s">
        <v>35</v>
      </c>
      <c r="B8" s="126">
        <v>0</v>
      </c>
      <c r="C8" s="126">
        <v>0</v>
      </c>
      <c r="D8" s="126">
        <v>224</v>
      </c>
      <c r="E8" s="126">
        <v>2249</v>
      </c>
      <c r="F8" s="126">
        <v>7187</v>
      </c>
      <c r="G8" s="126">
        <v>12545</v>
      </c>
      <c r="H8" s="126">
        <v>13706</v>
      </c>
      <c r="I8" s="126">
        <v>16049</v>
      </c>
      <c r="J8" s="126">
        <v>14292</v>
      </c>
      <c r="K8" s="126">
        <v>13114</v>
      </c>
      <c r="L8" s="126">
        <v>9072</v>
      </c>
      <c r="M8" s="126">
        <v>3371</v>
      </c>
      <c r="N8" s="126">
        <f t="shared" si="0"/>
        <v>91809</v>
      </c>
    </row>
    <row r="9" spans="1:14">
      <c r="A9" s="17" t="s">
        <v>36</v>
      </c>
      <c r="B9" s="126">
        <v>0</v>
      </c>
      <c r="C9" s="126">
        <v>0</v>
      </c>
      <c r="D9" s="126">
        <v>0</v>
      </c>
      <c r="E9" s="126">
        <v>0</v>
      </c>
      <c r="F9" s="126">
        <v>8136</v>
      </c>
      <c r="G9" s="126">
        <v>15131</v>
      </c>
      <c r="H9" s="126">
        <v>17211</v>
      </c>
      <c r="I9" s="126">
        <v>18573</v>
      </c>
      <c r="J9" s="126">
        <v>14593</v>
      </c>
      <c r="K9" s="126">
        <v>13176</v>
      </c>
      <c r="L9" s="126">
        <v>7953</v>
      </c>
      <c r="M9" s="126">
        <v>5218</v>
      </c>
      <c r="N9" s="126">
        <f t="shared" si="0"/>
        <v>99991</v>
      </c>
    </row>
    <row r="10" spans="1:14">
      <c r="A10" s="18" t="s">
        <v>37</v>
      </c>
      <c r="B10" s="127">
        <v>0</v>
      </c>
      <c r="C10" s="127">
        <v>0</v>
      </c>
      <c r="D10" s="127">
        <v>0</v>
      </c>
      <c r="E10" s="127">
        <v>0</v>
      </c>
      <c r="F10" s="127">
        <v>6058</v>
      </c>
      <c r="G10" s="127">
        <v>13793</v>
      </c>
      <c r="H10" s="127">
        <v>14768</v>
      </c>
      <c r="I10" s="127">
        <v>15811</v>
      </c>
      <c r="J10" s="127">
        <v>11057</v>
      </c>
      <c r="K10" s="127">
        <v>12651</v>
      </c>
      <c r="L10" s="127">
        <v>6650</v>
      </c>
      <c r="M10" s="127">
        <v>1626</v>
      </c>
      <c r="N10" s="126">
        <f t="shared" si="0"/>
        <v>82414</v>
      </c>
    </row>
    <row r="11" spans="1:14">
      <c r="A11" s="18" t="s">
        <v>38</v>
      </c>
      <c r="B11" s="127">
        <v>0</v>
      </c>
      <c r="C11" s="127">
        <v>0</v>
      </c>
      <c r="D11" s="127">
        <v>0</v>
      </c>
      <c r="E11" s="127">
        <v>901</v>
      </c>
      <c r="F11" s="127">
        <v>7039</v>
      </c>
      <c r="G11" s="127">
        <v>11084</v>
      </c>
      <c r="H11" s="127">
        <v>15072</v>
      </c>
      <c r="I11" s="127">
        <v>18574</v>
      </c>
      <c r="J11" s="127">
        <v>12758</v>
      </c>
      <c r="K11" s="127">
        <v>11701</v>
      </c>
      <c r="L11" s="127">
        <v>7595</v>
      </c>
      <c r="M11" s="127">
        <v>1964</v>
      </c>
      <c r="N11" s="126">
        <f t="shared" si="0"/>
        <v>86688</v>
      </c>
    </row>
    <row r="12" spans="1:14" ht="13.5" thickBot="1">
      <c r="A12" s="22" t="s">
        <v>30</v>
      </c>
      <c r="B12" s="128">
        <f>SUM(B3:B11)/9</f>
        <v>68.222222222222229</v>
      </c>
      <c r="C12" s="128">
        <f t="shared" ref="C12:N12" si="1">SUM(C3:C11)/9</f>
        <v>111.33333333333333</v>
      </c>
      <c r="D12" s="128">
        <f t="shared" si="1"/>
        <v>118.55555555555556</v>
      </c>
      <c r="E12" s="128">
        <f t="shared" si="1"/>
        <v>1397.7777777777778</v>
      </c>
      <c r="F12" s="128">
        <f t="shared" si="1"/>
        <v>7132.2222222222226</v>
      </c>
      <c r="G12" s="128">
        <f t="shared" si="1"/>
        <v>12922.777777777777</v>
      </c>
      <c r="H12" s="128">
        <f t="shared" si="1"/>
        <v>14899.555555555555</v>
      </c>
      <c r="I12" s="128">
        <f t="shared" si="1"/>
        <v>16796.333333333332</v>
      </c>
      <c r="J12" s="128">
        <f t="shared" si="1"/>
        <v>13651.888888888889</v>
      </c>
      <c r="K12" s="128">
        <f t="shared" si="1"/>
        <v>11879.777777777777</v>
      </c>
      <c r="L12" s="128">
        <f t="shared" si="1"/>
        <v>8525.4444444444453</v>
      </c>
      <c r="M12" s="128">
        <f t="shared" si="1"/>
        <v>2485</v>
      </c>
      <c r="N12" s="128">
        <f t="shared" si="1"/>
        <v>89988.888888888891</v>
      </c>
    </row>
    <row r="16" spans="1:14" ht="16.5">
      <c r="A16" s="37" t="s">
        <v>67</v>
      </c>
      <c r="B16" s="39"/>
      <c r="C16" s="39"/>
      <c r="D16" s="39"/>
      <c r="E16" s="39"/>
      <c r="F16" s="39"/>
      <c r="G16" s="39"/>
      <c r="H16" s="39"/>
      <c r="I16" s="39"/>
      <c r="J16" s="39"/>
      <c r="K16" s="39"/>
      <c r="L16" s="39"/>
      <c r="M16" s="39"/>
      <c r="N16" s="39"/>
    </row>
    <row r="17" spans="1:14" ht="16.5">
      <c r="A17" s="38" t="s">
        <v>29</v>
      </c>
      <c r="B17" s="40" t="s">
        <v>0</v>
      </c>
      <c r="C17" s="40" t="s">
        <v>1</v>
      </c>
      <c r="D17" s="40" t="s">
        <v>2</v>
      </c>
      <c r="E17" s="40" t="s">
        <v>3</v>
      </c>
      <c r="F17" s="40" t="s">
        <v>4</v>
      </c>
      <c r="G17" s="40" t="s">
        <v>5</v>
      </c>
      <c r="H17" s="40" t="s">
        <v>6</v>
      </c>
      <c r="I17" s="40" t="s">
        <v>7</v>
      </c>
      <c r="J17" s="40" t="s">
        <v>8</v>
      </c>
      <c r="K17" s="40" t="s">
        <v>9</v>
      </c>
      <c r="L17" s="40" t="s">
        <v>10</v>
      </c>
      <c r="M17" s="40" t="s">
        <v>11</v>
      </c>
      <c r="N17" s="40" t="s">
        <v>30</v>
      </c>
    </row>
    <row r="18" spans="1:14">
      <c r="A18" s="16" t="s">
        <v>64</v>
      </c>
      <c r="B18" s="122">
        <v>0</v>
      </c>
      <c r="C18" s="122">
        <v>0</v>
      </c>
      <c r="D18" s="122">
        <v>1671.63</v>
      </c>
      <c r="E18" s="122">
        <v>7253.34</v>
      </c>
      <c r="F18" s="122">
        <v>17630.36</v>
      </c>
      <c r="G18" s="122">
        <v>32716.959999999999</v>
      </c>
      <c r="H18" s="122">
        <v>42366.81</v>
      </c>
      <c r="I18" s="122">
        <v>44027.01</v>
      </c>
      <c r="J18" s="122">
        <v>34538.379999999997</v>
      </c>
      <c r="K18" s="122">
        <v>27473.599999999999</v>
      </c>
      <c r="L18" s="122">
        <v>16807.89</v>
      </c>
      <c r="M18" s="122">
        <v>5040.5200000000004</v>
      </c>
      <c r="N18" s="122">
        <f t="shared" ref="N18:N27" si="2">SUM(B18:M18)</f>
        <v>229526.50000000003</v>
      </c>
    </row>
    <row r="19" spans="1:14">
      <c r="A19" s="16" t="s">
        <v>68</v>
      </c>
      <c r="B19" s="122">
        <v>0</v>
      </c>
      <c r="C19" s="122">
        <v>0</v>
      </c>
      <c r="D19" s="122">
        <v>291.5</v>
      </c>
      <c r="E19" s="122">
        <v>3837.1</v>
      </c>
      <c r="F19" s="122">
        <v>16924.990000000002</v>
      </c>
      <c r="G19" s="122">
        <v>31880.28</v>
      </c>
      <c r="H19" s="122">
        <v>46660.15</v>
      </c>
      <c r="I19" s="122">
        <v>52425.97</v>
      </c>
      <c r="J19" s="122">
        <v>38789.760000000002</v>
      </c>
      <c r="K19" s="122">
        <v>38003.129999999997</v>
      </c>
      <c r="L19" s="122">
        <v>15708.77</v>
      </c>
      <c r="M19" s="122">
        <v>3301.84</v>
      </c>
      <c r="N19" s="122">
        <f t="shared" si="2"/>
        <v>247823.49</v>
      </c>
    </row>
    <row r="20" spans="1:14">
      <c r="A20" s="17" t="s">
        <v>31</v>
      </c>
      <c r="B20" s="122">
        <v>290.13</v>
      </c>
      <c r="C20" s="122">
        <v>290.13</v>
      </c>
      <c r="D20" s="122">
        <v>290.13</v>
      </c>
      <c r="E20" s="122">
        <v>2866.55</v>
      </c>
      <c r="F20" s="122">
        <v>13910.59</v>
      </c>
      <c r="G20" s="122">
        <v>24580.49</v>
      </c>
      <c r="H20" s="122">
        <v>26474.94</v>
      </c>
      <c r="I20" s="122">
        <v>29092.45</v>
      </c>
      <c r="J20" s="122">
        <v>23169.06</v>
      </c>
      <c r="K20" s="122">
        <v>19766.86</v>
      </c>
      <c r="L20" s="122">
        <v>14441.43</v>
      </c>
      <c r="M20" s="122">
        <v>4598</v>
      </c>
      <c r="N20" s="122">
        <f t="shared" si="2"/>
        <v>159770.76</v>
      </c>
    </row>
    <row r="21" spans="1:14">
      <c r="A21" s="16" t="s">
        <v>32</v>
      </c>
      <c r="B21" s="122">
        <v>288.75</v>
      </c>
      <c r="C21" s="122">
        <v>288.75</v>
      </c>
      <c r="D21" s="122">
        <v>1392.5740000000001</v>
      </c>
      <c r="E21" s="122">
        <v>8056.64</v>
      </c>
      <c r="F21" s="122">
        <v>24858.19</v>
      </c>
      <c r="G21" s="122">
        <v>33944.9</v>
      </c>
      <c r="H21" s="122">
        <v>36597.08</v>
      </c>
      <c r="I21" s="122">
        <v>37666.339999999997</v>
      </c>
      <c r="J21" s="122">
        <v>40480.239999999998</v>
      </c>
      <c r="K21" s="122">
        <v>39229.839999999997</v>
      </c>
      <c r="L21" s="122">
        <v>28818.27</v>
      </c>
      <c r="M21" s="122">
        <v>7191.31</v>
      </c>
      <c r="N21" s="122">
        <f t="shared" si="2"/>
        <v>258812.88399999996</v>
      </c>
    </row>
    <row r="22" spans="1:14">
      <c r="A22" s="17" t="s">
        <v>33</v>
      </c>
      <c r="B22" s="122">
        <v>293.25</v>
      </c>
      <c r="C22" s="122">
        <v>293.25</v>
      </c>
      <c r="D22" s="122">
        <v>697.82</v>
      </c>
      <c r="E22" s="122">
        <v>6527.91</v>
      </c>
      <c r="F22" s="122">
        <v>19150.61</v>
      </c>
      <c r="G22" s="122">
        <v>29301.55</v>
      </c>
      <c r="H22" s="122">
        <v>31912.22</v>
      </c>
      <c r="I22" s="122">
        <v>40397.79</v>
      </c>
      <c r="J22" s="122">
        <v>35193.32</v>
      </c>
      <c r="K22" s="122">
        <v>27280</v>
      </c>
      <c r="L22" s="122">
        <v>16273.2</v>
      </c>
      <c r="M22" s="122">
        <v>4786.13</v>
      </c>
      <c r="N22" s="122">
        <f t="shared" si="2"/>
        <v>212107.05000000002</v>
      </c>
    </row>
    <row r="23" spans="1:14">
      <c r="A23" s="17" t="s">
        <v>34</v>
      </c>
      <c r="B23" s="122">
        <v>288.75</v>
      </c>
      <c r="C23" s="122">
        <v>288.75</v>
      </c>
      <c r="D23" s="122">
        <v>1151.0999999999999</v>
      </c>
      <c r="E23" s="122">
        <v>2292.35</v>
      </c>
      <c r="F23" s="122">
        <v>10657.36</v>
      </c>
      <c r="G23" s="122">
        <v>21758.26</v>
      </c>
      <c r="H23" s="122">
        <v>30701.63</v>
      </c>
      <c r="I23" s="122">
        <v>27292.94</v>
      </c>
      <c r="J23" s="122">
        <v>19216.89</v>
      </c>
      <c r="K23" s="122">
        <v>20358.27</v>
      </c>
      <c r="L23" s="122">
        <v>16902.560000000001</v>
      </c>
      <c r="M23" s="122">
        <v>4753.26</v>
      </c>
      <c r="N23" s="122">
        <f t="shared" si="2"/>
        <v>155662.12</v>
      </c>
    </row>
    <row r="24" spans="1:14">
      <c r="A24" s="17" t="s">
        <v>35</v>
      </c>
      <c r="B24" s="122">
        <v>288.75</v>
      </c>
      <c r="C24" s="122">
        <v>288.75</v>
      </c>
      <c r="D24" s="122">
        <v>288.75</v>
      </c>
      <c r="E24" s="122">
        <v>4332.9399999999996</v>
      </c>
      <c r="F24" s="122">
        <v>14332.72</v>
      </c>
      <c r="G24" s="122">
        <v>26743.22</v>
      </c>
      <c r="H24" s="122">
        <v>26190.43</v>
      </c>
      <c r="I24" s="122">
        <v>32872.050000000003</v>
      </c>
      <c r="J24" s="122">
        <v>38188.42</v>
      </c>
      <c r="K24" s="122">
        <v>34119.99</v>
      </c>
      <c r="L24" s="122">
        <v>26100.05</v>
      </c>
      <c r="M24" s="122">
        <v>8030.53</v>
      </c>
      <c r="N24" s="122">
        <f t="shared" si="2"/>
        <v>211776.59999999998</v>
      </c>
    </row>
    <row r="25" spans="1:14">
      <c r="A25" s="17" t="s">
        <v>36</v>
      </c>
      <c r="B25" s="122">
        <v>288.75</v>
      </c>
      <c r="C25" s="122">
        <v>288.75</v>
      </c>
      <c r="D25" s="122">
        <v>288.75</v>
      </c>
      <c r="E25" s="122">
        <v>288.75</v>
      </c>
      <c r="F25" s="122">
        <v>18560.04</v>
      </c>
      <c r="G25" s="122">
        <v>45036.62</v>
      </c>
      <c r="H25" s="122">
        <v>56549.53</v>
      </c>
      <c r="I25" s="122">
        <v>76119.06</v>
      </c>
      <c r="J25" s="122">
        <v>41494.11</v>
      </c>
      <c r="K25" s="122">
        <v>25949.29</v>
      </c>
      <c r="L25" s="122">
        <v>16174.57</v>
      </c>
      <c r="M25" s="122">
        <v>12108.04</v>
      </c>
      <c r="N25" s="122">
        <f t="shared" si="2"/>
        <v>293146.25999999995</v>
      </c>
    </row>
    <row r="26" spans="1:14">
      <c r="A26" s="18" t="s">
        <v>37</v>
      </c>
      <c r="B26" s="123">
        <v>288.75</v>
      </c>
      <c r="C26" s="123">
        <v>288.75</v>
      </c>
      <c r="D26" s="123">
        <v>288.75</v>
      </c>
      <c r="E26" s="123">
        <v>288.75</v>
      </c>
      <c r="F26" s="123">
        <v>20555.82</v>
      </c>
      <c r="G26" s="123">
        <v>45722.06</v>
      </c>
      <c r="H26" s="123">
        <v>38797.910000000003</v>
      </c>
      <c r="I26" s="123">
        <v>35106.449999999997</v>
      </c>
      <c r="J26" s="123">
        <v>26520.32</v>
      </c>
      <c r="K26" s="123">
        <v>31884.38</v>
      </c>
      <c r="L26" s="123">
        <v>16972</v>
      </c>
      <c r="M26" s="123">
        <v>4120.46</v>
      </c>
      <c r="N26" s="122">
        <f t="shared" si="2"/>
        <v>220834.4</v>
      </c>
    </row>
    <row r="27" spans="1:14" ht="15">
      <c r="A27" s="18" t="s">
        <v>38</v>
      </c>
      <c r="B27" s="129">
        <v>288.75</v>
      </c>
      <c r="C27" s="129">
        <v>288.76</v>
      </c>
      <c r="D27" s="129">
        <v>288.75</v>
      </c>
      <c r="E27" s="129">
        <v>2018.24</v>
      </c>
      <c r="F27" s="129">
        <v>18469.39</v>
      </c>
      <c r="G27" s="129">
        <v>26298.58</v>
      </c>
      <c r="H27" s="129">
        <v>37553.089999999997</v>
      </c>
      <c r="I27" s="129">
        <v>41044.129999999997</v>
      </c>
      <c r="J27" s="129">
        <v>27808.52</v>
      </c>
      <c r="K27" s="129">
        <v>24531.35</v>
      </c>
      <c r="L27" s="129">
        <v>15853.85</v>
      </c>
      <c r="M27" s="129">
        <v>5009.3599999999997</v>
      </c>
      <c r="N27" s="130">
        <f t="shared" si="2"/>
        <v>199452.77</v>
      </c>
    </row>
    <row r="28" spans="1:14" ht="15">
      <c r="A28" s="17" t="s">
        <v>30</v>
      </c>
      <c r="B28" s="131">
        <f t="shared" ref="B28:M28" si="3">SUM(B18:B22)/5</f>
        <v>174.42599999999999</v>
      </c>
      <c r="C28" s="131">
        <f t="shared" si="3"/>
        <v>174.42599999999999</v>
      </c>
      <c r="D28" s="131">
        <f t="shared" si="3"/>
        <v>868.73080000000004</v>
      </c>
      <c r="E28" s="131">
        <f t="shared" si="3"/>
        <v>5708.308</v>
      </c>
      <c r="F28" s="131">
        <f t="shared" si="3"/>
        <v>18494.948</v>
      </c>
      <c r="G28" s="131">
        <f t="shared" si="3"/>
        <v>30484.835999999999</v>
      </c>
      <c r="H28" s="131">
        <f t="shared" si="3"/>
        <v>36802.239999999998</v>
      </c>
      <c r="I28" s="131">
        <f t="shared" si="3"/>
        <v>40721.912000000004</v>
      </c>
      <c r="J28" s="131">
        <f t="shared" si="3"/>
        <v>34434.152000000002</v>
      </c>
      <c r="K28" s="131">
        <f t="shared" si="3"/>
        <v>30350.685999999998</v>
      </c>
      <c r="L28" s="131">
        <f t="shared" si="3"/>
        <v>18409.912</v>
      </c>
      <c r="M28" s="131">
        <f t="shared" si="3"/>
        <v>4983.5600000000004</v>
      </c>
      <c r="N28" s="131">
        <f>SUM(N18:N20)/5</f>
        <v>127424.15</v>
      </c>
    </row>
    <row r="31" spans="1:14">
      <c r="A31" s="17" t="s">
        <v>71</v>
      </c>
      <c r="B31" s="3">
        <v>0</v>
      </c>
      <c r="C31" s="3">
        <v>0</v>
      </c>
      <c r="D31" s="3">
        <v>0</v>
      </c>
      <c r="E31" s="3">
        <v>0</v>
      </c>
      <c r="F31" s="3">
        <v>8136</v>
      </c>
      <c r="G31" s="3">
        <v>15131</v>
      </c>
      <c r="H31" s="3">
        <v>17211</v>
      </c>
      <c r="I31" s="3">
        <v>18573</v>
      </c>
      <c r="J31" s="3">
        <v>14593</v>
      </c>
      <c r="K31" s="3">
        <v>13176</v>
      </c>
      <c r="L31" s="3">
        <v>7953</v>
      </c>
      <c r="M31" s="3">
        <v>5218</v>
      </c>
    </row>
    <row r="33" spans="1:14" ht="13.5" thickBot="1"/>
    <row r="34" spans="1:14">
      <c r="B34" s="20" t="s">
        <v>0</v>
      </c>
      <c r="C34" s="20" t="s">
        <v>1</v>
      </c>
      <c r="D34" s="20" t="s">
        <v>2</v>
      </c>
      <c r="E34" s="20" t="s">
        <v>3</v>
      </c>
      <c r="F34" s="20" t="s">
        <v>4</v>
      </c>
      <c r="G34" s="20" t="s">
        <v>5</v>
      </c>
      <c r="H34" s="20" t="s">
        <v>6</v>
      </c>
      <c r="I34" s="20" t="s">
        <v>7</v>
      </c>
      <c r="J34" s="20" t="s">
        <v>8</v>
      </c>
      <c r="K34" s="20" t="s">
        <v>9</v>
      </c>
      <c r="L34" s="20" t="s">
        <v>10</v>
      </c>
      <c r="M34" s="20" t="s">
        <v>11</v>
      </c>
    </row>
    <row r="35" spans="1:14">
      <c r="A35" s="18" t="s">
        <v>72</v>
      </c>
      <c r="B35" s="127">
        <v>0</v>
      </c>
      <c r="C35" s="127">
        <v>0</v>
      </c>
      <c r="D35" s="127">
        <v>0</v>
      </c>
      <c r="E35" s="127">
        <v>0</v>
      </c>
      <c r="F35" s="127">
        <v>6058</v>
      </c>
      <c r="G35" s="127">
        <v>13793</v>
      </c>
      <c r="H35" s="127">
        <v>14768</v>
      </c>
      <c r="I35" s="127">
        <v>15811</v>
      </c>
      <c r="J35" s="127">
        <v>11057</v>
      </c>
      <c r="K35" s="127">
        <v>12651</v>
      </c>
      <c r="L35" s="127">
        <v>6650</v>
      </c>
      <c r="M35" s="127">
        <v>1626</v>
      </c>
      <c r="N35" s="132"/>
    </row>
    <row r="36" spans="1:14">
      <c r="A36" s="18" t="s">
        <v>151</v>
      </c>
      <c r="B36" s="127">
        <v>0</v>
      </c>
      <c r="C36" s="127">
        <v>0</v>
      </c>
      <c r="D36" s="127">
        <v>0</v>
      </c>
      <c r="E36" s="127">
        <v>901400</v>
      </c>
      <c r="F36" s="127">
        <v>7039200</v>
      </c>
      <c r="G36" s="127">
        <v>11084400</v>
      </c>
      <c r="H36" s="127">
        <v>15061736</v>
      </c>
      <c r="I36" s="127">
        <v>18574200</v>
      </c>
      <c r="J36" s="127">
        <v>12758000</v>
      </c>
      <c r="K36" s="127">
        <v>11700800</v>
      </c>
      <c r="L36" s="127">
        <v>7595200</v>
      </c>
      <c r="M36" s="127">
        <v>1964300</v>
      </c>
      <c r="N36" s="133">
        <f>SUM(B36:M36)</f>
        <v>86679236</v>
      </c>
    </row>
    <row r="37" spans="1:14">
      <c r="A37" t="s">
        <v>150</v>
      </c>
      <c r="B37" s="134">
        <v>0</v>
      </c>
      <c r="C37" s="134">
        <v>0</v>
      </c>
      <c r="D37" s="134">
        <v>0</v>
      </c>
      <c r="E37" s="134">
        <v>220900</v>
      </c>
      <c r="F37" s="134">
        <v>6917400</v>
      </c>
      <c r="G37" s="134">
        <v>8867600</v>
      </c>
      <c r="H37" s="134">
        <v>13369310</v>
      </c>
      <c r="I37" s="134">
        <v>16118600</v>
      </c>
      <c r="J37" s="134">
        <v>12526905</v>
      </c>
      <c r="K37" s="134">
        <v>9955900</v>
      </c>
      <c r="L37" s="134">
        <v>7720300</v>
      </c>
      <c r="M37" s="134">
        <v>1262900</v>
      </c>
      <c r="N37" s="133">
        <f>SUM(B37:M37)</f>
        <v>76959815</v>
      </c>
    </row>
    <row r="38" spans="1:14">
      <c r="A38" t="s">
        <v>157</v>
      </c>
      <c r="B38" s="134">
        <v>0</v>
      </c>
      <c r="C38" s="134">
        <v>0</v>
      </c>
      <c r="D38" s="134">
        <v>0</v>
      </c>
      <c r="E38" s="134">
        <v>468000</v>
      </c>
      <c r="F38" s="134">
        <v>6354800</v>
      </c>
      <c r="G38" s="134">
        <v>12605900</v>
      </c>
      <c r="H38" s="134">
        <v>19682500</v>
      </c>
      <c r="I38" s="134">
        <v>15766350</v>
      </c>
      <c r="J38" s="134">
        <v>15803900</v>
      </c>
      <c r="K38" s="134">
        <v>13307450</v>
      </c>
      <c r="L38" s="134">
        <v>8176900</v>
      </c>
      <c r="M38" s="134">
        <v>2535700</v>
      </c>
      <c r="N38" s="133">
        <f>SUM(B38:M38)</f>
        <v>94701500</v>
      </c>
    </row>
    <row r="39" spans="1:14">
      <c r="A39" t="s">
        <v>159</v>
      </c>
      <c r="B39" s="134">
        <v>0</v>
      </c>
      <c r="C39" s="134">
        <v>0</v>
      </c>
      <c r="D39" s="134">
        <v>0</v>
      </c>
      <c r="E39" s="134">
        <v>1235500</v>
      </c>
      <c r="F39" s="134">
        <v>7924900</v>
      </c>
      <c r="G39" s="134">
        <v>8564900</v>
      </c>
      <c r="H39" s="134">
        <v>13970210</v>
      </c>
      <c r="I39" s="134">
        <v>14639200</v>
      </c>
      <c r="J39" s="134">
        <v>11545805</v>
      </c>
      <c r="K39" s="134">
        <v>13693100</v>
      </c>
      <c r="L39" s="134">
        <v>8430600</v>
      </c>
      <c r="M39" s="134">
        <v>4174700</v>
      </c>
      <c r="N39" s="133">
        <v>84178915</v>
      </c>
    </row>
    <row r="41" spans="1:14">
      <c r="A41" s="17" t="s">
        <v>73</v>
      </c>
      <c r="B41" s="122">
        <v>288.75</v>
      </c>
      <c r="C41" s="122">
        <v>288.75</v>
      </c>
      <c r="D41" s="122">
        <v>288.75</v>
      </c>
      <c r="E41" s="122">
        <v>288.75</v>
      </c>
      <c r="F41" s="122">
        <v>18560.04</v>
      </c>
      <c r="G41" s="122">
        <v>45036.62</v>
      </c>
      <c r="H41" s="122">
        <v>56549.53</v>
      </c>
      <c r="I41" s="122">
        <v>76119.06</v>
      </c>
      <c r="J41" s="122">
        <v>41494.11</v>
      </c>
      <c r="K41" s="122">
        <v>25949.29</v>
      </c>
      <c r="L41" s="122">
        <v>16174.57</v>
      </c>
      <c r="M41" s="122">
        <v>12108.04</v>
      </c>
      <c r="N41" s="87"/>
    </row>
    <row r="42" spans="1:14">
      <c r="A42" s="18" t="s">
        <v>74</v>
      </c>
      <c r="B42" s="123">
        <v>288.75</v>
      </c>
      <c r="C42" s="123">
        <v>288.75</v>
      </c>
      <c r="D42" s="123">
        <v>288.75</v>
      </c>
      <c r="E42" s="123">
        <v>288.75</v>
      </c>
      <c r="F42" s="123">
        <v>20555.82</v>
      </c>
      <c r="G42" s="123">
        <v>45722.06</v>
      </c>
      <c r="H42" s="123">
        <v>38797.910000000003</v>
      </c>
      <c r="I42" s="123">
        <v>35106.449999999997</v>
      </c>
      <c r="J42" s="123">
        <v>26520.32</v>
      </c>
      <c r="K42" s="123">
        <v>31884.38</v>
      </c>
      <c r="L42" s="123">
        <v>16972</v>
      </c>
      <c r="M42" s="123">
        <v>4120.46</v>
      </c>
      <c r="N42" s="87"/>
    </row>
    <row r="43" spans="1:14">
      <c r="A43" s="18" t="s">
        <v>142</v>
      </c>
      <c r="B43" s="135">
        <v>288.75</v>
      </c>
      <c r="C43" s="135">
        <v>288.76</v>
      </c>
      <c r="D43" s="135">
        <v>288.75</v>
      </c>
      <c r="E43" s="135">
        <v>2018.24</v>
      </c>
      <c r="F43" s="135">
        <v>16469.39</v>
      </c>
      <c r="G43" s="135">
        <v>26298.58</v>
      </c>
      <c r="H43" s="135">
        <v>37553.089999999997</v>
      </c>
      <c r="I43" s="135">
        <v>41044.129999999997</v>
      </c>
      <c r="J43" s="135">
        <v>27808.52</v>
      </c>
      <c r="K43" s="135">
        <v>24531.35</v>
      </c>
      <c r="L43" s="135">
        <v>15853.85</v>
      </c>
      <c r="M43" s="135">
        <v>5009.3599999999997</v>
      </c>
      <c r="N43" s="87">
        <f>SUM(B43:M43)</f>
        <v>197452.77</v>
      </c>
    </row>
    <row r="44" spans="1:14">
      <c r="A44" s="18" t="s">
        <v>141</v>
      </c>
      <c r="B44" s="135">
        <v>288.75</v>
      </c>
      <c r="C44" s="135">
        <v>288.755</v>
      </c>
      <c r="D44" s="135">
        <v>288.75</v>
      </c>
      <c r="E44" s="135">
        <v>983.5</v>
      </c>
      <c r="F44" s="135">
        <v>20197.96</v>
      </c>
      <c r="G44" s="135">
        <v>28859.89</v>
      </c>
      <c r="H44" s="135">
        <v>35145.449999999997</v>
      </c>
      <c r="I44" s="135">
        <v>42257.41</v>
      </c>
      <c r="J44" s="135">
        <v>35988.959999999999</v>
      </c>
      <c r="K44" s="135">
        <v>28525.759999999998</v>
      </c>
      <c r="L44" s="135">
        <v>24229.360000000001</v>
      </c>
      <c r="M44" s="135">
        <v>4339.67</v>
      </c>
      <c r="N44" s="87">
        <f>SUM(B44:M44)</f>
        <v>221394.215</v>
      </c>
    </row>
    <row r="45" spans="1:14">
      <c r="A45" t="s">
        <v>158</v>
      </c>
      <c r="B45" s="87">
        <v>288.75</v>
      </c>
      <c r="C45" s="87">
        <v>288.75</v>
      </c>
      <c r="D45" s="87">
        <v>308.75</v>
      </c>
      <c r="E45" s="87">
        <v>2596.64</v>
      </c>
      <c r="F45" s="87">
        <v>35860.04</v>
      </c>
      <c r="G45" s="87">
        <v>59465.72</v>
      </c>
      <c r="H45" s="87">
        <v>96326.24</v>
      </c>
      <c r="I45" s="87">
        <v>93743.34</v>
      </c>
      <c r="J45" s="87">
        <v>88344.05</v>
      </c>
      <c r="K45" s="87">
        <v>70520.56</v>
      </c>
      <c r="L45" s="87">
        <v>45814.83</v>
      </c>
      <c r="M45" s="87">
        <v>13404.37</v>
      </c>
      <c r="N45" s="87">
        <f>SUM(B45:M45)</f>
        <v>506962.04</v>
      </c>
    </row>
    <row r="46" spans="1:14">
      <c r="A46" s="18" t="s">
        <v>160</v>
      </c>
      <c r="B46" s="124">
        <v>288.75</v>
      </c>
      <c r="C46" s="124">
        <v>288.755</v>
      </c>
      <c r="D46" s="136">
        <v>288.75</v>
      </c>
      <c r="E46" s="124">
        <v>3851.42</v>
      </c>
      <c r="F46" s="124">
        <v>18462.32</v>
      </c>
      <c r="G46" s="124">
        <v>35100.82</v>
      </c>
      <c r="H46" s="124">
        <v>54767.46</v>
      </c>
      <c r="I46" s="124">
        <v>59123.34</v>
      </c>
      <c r="J46" s="124">
        <v>45623.64</v>
      </c>
      <c r="K46" s="124">
        <v>52101.56</v>
      </c>
      <c r="L46" s="124">
        <v>33517.370000000003</v>
      </c>
      <c r="M46" s="124">
        <v>16235.31</v>
      </c>
      <c r="N46" s="87">
        <f>SUM(B46:M46)</f>
        <v>319649.495</v>
      </c>
    </row>
    <row r="52" spans="1:14" ht="13.5" thickBot="1"/>
    <row r="53" spans="1:14">
      <c r="B53" s="20" t="s">
        <v>0</v>
      </c>
      <c r="C53" s="20" t="s">
        <v>1</v>
      </c>
      <c r="D53" s="20" t="s">
        <v>2</v>
      </c>
      <c r="E53" s="20" t="s">
        <v>3</v>
      </c>
      <c r="F53" s="20" t="s">
        <v>4</v>
      </c>
      <c r="G53" s="20" t="s">
        <v>5</v>
      </c>
      <c r="H53" s="20" t="s">
        <v>6</v>
      </c>
      <c r="I53" s="20" t="s">
        <v>7</v>
      </c>
      <c r="J53" s="20" t="s">
        <v>8</v>
      </c>
      <c r="K53" s="20" t="s">
        <v>9</v>
      </c>
      <c r="L53" s="20" t="s">
        <v>10</v>
      </c>
      <c r="M53" s="20" t="s">
        <v>11</v>
      </c>
    </row>
    <row r="54" spans="1:14">
      <c r="A54" t="s">
        <v>208</v>
      </c>
      <c r="B54" s="134">
        <v>0</v>
      </c>
      <c r="C54" s="134">
        <v>0</v>
      </c>
      <c r="D54" s="134">
        <v>0</v>
      </c>
      <c r="E54" s="134">
        <v>1319000</v>
      </c>
      <c r="F54" s="134">
        <v>9450000</v>
      </c>
      <c r="G54" s="134">
        <v>11736000</v>
      </c>
      <c r="H54" s="134">
        <v>13188150</v>
      </c>
      <c r="I54" s="134">
        <v>16308500</v>
      </c>
      <c r="J54" s="134">
        <v>15462200</v>
      </c>
      <c r="K54" s="134">
        <v>11278600</v>
      </c>
      <c r="L54" s="134">
        <v>9711000</v>
      </c>
      <c r="M54" s="134">
        <v>2881000</v>
      </c>
      <c r="N54" s="79">
        <f>SUM(B54:M54)</f>
        <v>91334450</v>
      </c>
    </row>
    <row r="55" spans="1:14">
      <c r="A55" t="s">
        <v>280</v>
      </c>
      <c r="B55" s="134">
        <v>0</v>
      </c>
      <c r="C55" s="134">
        <v>1000</v>
      </c>
      <c r="D55" s="134">
        <v>0</v>
      </c>
      <c r="E55" s="134">
        <v>1741000</v>
      </c>
      <c r="F55" s="134">
        <v>7002000</v>
      </c>
      <c r="G55" s="134">
        <v>11820000</v>
      </c>
      <c r="H55" s="134">
        <v>15031250</v>
      </c>
      <c r="I55" s="134">
        <v>16840950</v>
      </c>
      <c r="J55" s="134">
        <v>16018546</v>
      </c>
      <c r="K55" s="134">
        <v>11792050</v>
      </c>
      <c r="L55" s="134">
        <v>6984000</v>
      </c>
      <c r="M55" s="134">
        <v>2270000</v>
      </c>
      <c r="N55" s="79">
        <f>SUM(B55:M55)</f>
        <v>89500796</v>
      </c>
    </row>
    <row r="56" spans="1:14">
      <c r="A56" t="s">
        <v>288</v>
      </c>
      <c r="B56" s="134">
        <v>12000</v>
      </c>
      <c r="C56" s="134">
        <v>0</v>
      </c>
      <c r="D56" s="134">
        <v>0</v>
      </c>
      <c r="E56" s="134">
        <v>4000</v>
      </c>
      <c r="F56" s="134">
        <v>6286000</v>
      </c>
      <c r="G56" s="134">
        <v>8603800</v>
      </c>
      <c r="H56" s="134">
        <v>16086050</v>
      </c>
      <c r="I56" s="134">
        <v>13577100</v>
      </c>
      <c r="J56" s="134">
        <v>0</v>
      </c>
      <c r="K56" s="134">
        <v>0</v>
      </c>
      <c r="L56" s="134">
        <v>0</v>
      </c>
      <c r="M56" s="134">
        <v>0</v>
      </c>
      <c r="N56" s="79">
        <f>SUM(B56:M56)</f>
        <v>44568950</v>
      </c>
    </row>
    <row r="57" spans="1:14">
      <c r="B57" s="134">
        <v>3081.38402</v>
      </c>
      <c r="C57" s="134">
        <v>3773.1943199999996</v>
      </c>
      <c r="D57" s="134">
        <v>3334.0085040000004</v>
      </c>
      <c r="E57" s="134">
        <v>4321.9201199999998</v>
      </c>
      <c r="F57" s="134">
        <v>9970.7859879999996</v>
      </c>
      <c r="G57" s="134">
        <v>12170.397720000001</v>
      </c>
      <c r="H57" s="134">
        <v>19552.109727999999</v>
      </c>
      <c r="I57" s="134">
        <v>20947.276912000001</v>
      </c>
      <c r="J57" s="134">
        <v>16151.180476</v>
      </c>
      <c r="K57" s="134">
        <v>17148.602387999999</v>
      </c>
      <c r="L57" s="134">
        <v>9928.9559800000006</v>
      </c>
      <c r="M57" s="134">
        <v>4838.4952960000001</v>
      </c>
      <c r="N57" s="79"/>
    </row>
    <row r="58" spans="1:14">
      <c r="A58" t="s">
        <v>208</v>
      </c>
      <c r="B58" s="134">
        <v>0</v>
      </c>
      <c r="C58" s="134">
        <v>0</v>
      </c>
      <c r="D58" s="134">
        <v>0</v>
      </c>
      <c r="E58" s="134">
        <v>1319000</v>
      </c>
      <c r="F58" s="134">
        <v>9450000</v>
      </c>
      <c r="G58" s="134">
        <v>11736000</v>
      </c>
      <c r="H58" s="134">
        <v>13188150</v>
      </c>
      <c r="I58" s="134">
        <v>16308500</v>
      </c>
      <c r="J58" s="134">
        <v>15462200</v>
      </c>
      <c r="K58" s="134">
        <v>11278600</v>
      </c>
      <c r="L58" s="134">
        <v>9711000</v>
      </c>
      <c r="M58" s="134">
        <v>2881000</v>
      </c>
      <c r="N58" s="79">
        <v>91334450</v>
      </c>
    </row>
    <row r="59" spans="1:14">
      <c r="B59" s="134">
        <v>0</v>
      </c>
      <c r="C59" s="134">
        <v>1000</v>
      </c>
      <c r="D59" s="134">
        <v>0</v>
      </c>
      <c r="E59" s="134">
        <v>1741000</v>
      </c>
      <c r="F59" s="134">
        <v>7002000</v>
      </c>
      <c r="G59" s="134">
        <v>11820000</v>
      </c>
      <c r="H59" s="134">
        <v>15031250</v>
      </c>
      <c r="I59" s="134">
        <v>16840950</v>
      </c>
      <c r="J59" s="134">
        <v>16018546</v>
      </c>
      <c r="K59" s="134">
        <v>11792050</v>
      </c>
      <c r="L59" s="134">
        <v>6984000</v>
      </c>
      <c r="M59" s="134">
        <v>2270000</v>
      </c>
      <c r="N59" s="79">
        <v>89500796</v>
      </c>
    </row>
    <row r="60" spans="1:14">
      <c r="A60" t="s">
        <v>311</v>
      </c>
      <c r="B60" s="316">
        <v>3300000</v>
      </c>
      <c r="C60" s="316">
        <v>3547000</v>
      </c>
      <c r="D60" s="316">
        <v>4234000</v>
      </c>
      <c r="E60" s="316">
        <v>5696000</v>
      </c>
      <c r="F60" s="316">
        <v>11293000</v>
      </c>
      <c r="G60" s="316">
        <v>15284000</v>
      </c>
      <c r="H60" s="316">
        <v>19060000</v>
      </c>
      <c r="I60" s="316">
        <v>20395000</v>
      </c>
      <c r="J60" s="316">
        <v>19638000</v>
      </c>
      <c r="K60" s="316">
        <v>14675000</v>
      </c>
      <c r="L60" s="316">
        <v>11332000</v>
      </c>
      <c r="M60" s="316">
        <v>5300000</v>
      </c>
      <c r="N60" s="79">
        <f t="shared" ref="N60:N67" si="4">SUM(B60:M60)</f>
        <v>133754000</v>
      </c>
    </row>
    <row r="61" spans="1:14">
      <c r="A61" t="s">
        <v>312</v>
      </c>
      <c r="B61" s="316">
        <v>3081000</v>
      </c>
      <c r="C61" s="316">
        <v>3773000</v>
      </c>
      <c r="D61" s="316">
        <v>3334000</v>
      </c>
      <c r="E61" s="316">
        <v>4322000</v>
      </c>
      <c r="F61" s="316">
        <v>9971000</v>
      </c>
      <c r="G61" s="316">
        <v>12170000</v>
      </c>
      <c r="H61" s="316">
        <v>19552000</v>
      </c>
      <c r="I61" s="316">
        <v>20947000</v>
      </c>
      <c r="J61" s="316">
        <v>16151000</v>
      </c>
      <c r="K61" s="316">
        <v>17149000</v>
      </c>
      <c r="L61" s="316">
        <v>9929000</v>
      </c>
      <c r="M61" s="316">
        <v>4838000</v>
      </c>
      <c r="N61" s="79">
        <f t="shared" si="4"/>
        <v>125217000</v>
      </c>
    </row>
    <row r="62" spans="1:14">
      <c r="A62" t="s">
        <v>313</v>
      </c>
      <c r="B62" s="316">
        <v>3512000</v>
      </c>
      <c r="C62" s="316">
        <v>4127000</v>
      </c>
      <c r="D62" s="316">
        <v>3678000</v>
      </c>
      <c r="E62" s="316">
        <v>5545000</v>
      </c>
      <c r="F62" s="316">
        <v>12987000</v>
      </c>
      <c r="G62" s="316">
        <v>16508000</v>
      </c>
      <c r="H62" s="316">
        <v>16723000</v>
      </c>
      <c r="I62" s="316">
        <v>14399000</v>
      </c>
      <c r="J62" s="316">
        <v>17281000</v>
      </c>
      <c r="K62" s="316">
        <v>15613000</v>
      </c>
      <c r="L62" s="316">
        <v>7863000</v>
      </c>
      <c r="M62" s="316">
        <v>4604000</v>
      </c>
      <c r="N62" s="79">
        <f t="shared" si="4"/>
        <v>122840000</v>
      </c>
    </row>
    <row r="63" spans="1:14">
      <c r="A63" t="s">
        <v>324</v>
      </c>
      <c r="B63" s="316">
        <v>3434000</v>
      </c>
      <c r="C63" s="316">
        <v>3996000</v>
      </c>
      <c r="D63" s="316">
        <v>3603000</v>
      </c>
      <c r="E63" s="316">
        <v>6305000</v>
      </c>
      <c r="F63" s="316">
        <v>11013000</v>
      </c>
      <c r="G63" s="316">
        <v>14237000</v>
      </c>
      <c r="H63" s="316">
        <v>14449000</v>
      </c>
      <c r="I63" s="316">
        <v>17688000</v>
      </c>
      <c r="J63" s="316">
        <v>18567000</v>
      </c>
      <c r="K63" s="316">
        <v>13035000</v>
      </c>
      <c r="L63" s="316">
        <v>7273000</v>
      </c>
      <c r="M63" s="316">
        <v>1604000</v>
      </c>
      <c r="N63" s="316">
        <f t="shared" si="4"/>
        <v>115204000</v>
      </c>
    </row>
    <row r="64" spans="1:14">
      <c r="A64" t="s">
        <v>368</v>
      </c>
      <c r="B64" s="316">
        <v>2976000</v>
      </c>
      <c r="C64" s="316">
        <v>3353000</v>
      </c>
      <c r="D64" s="316">
        <v>3038000</v>
      </c>
      <c r="E64" s="316">
        <v>3691000</v>
      </c>
      <c r="F64" s="316">
        <v>8321000</v>
      </c>
      <c r="G64" s="316">
        <v>14706000</v>
      </c>
      <c r="H64" s="316">
        <v>19382000</v>
      </c>
      <c r="I64" s="316">
        <v>21441000</v>
      </c>
      <c r="J64" s="316">
        <v>18783000</v>
      </c>
      <c r="K64" s="316">
        <v>15667000</v>
      </c>
      <c r="L64" s="316">
        <v>10729000</v>
      </c>
      <c r="M64" s="316">
        <v>3994000</v>
      </c>
      <c r="N64" s="316">
        <f t="shared" si="4"/>
        <v>126081000</v>
      </c>
    </row>
    <row r="65" spans="1:14">
      <c r="A65" s="90" t="s">
        <v>380</v>
      </c>
      <c r="B65" s="316">
        <v>0</v>
      </c>
      <c r="C65" s="316">
        <v>0</v>
      </c>
      <c r="D65" s="316">
        <v>0</v>
      </c>
      <c r="E65" s="316">
        <v>500000</v>
      </c>
      <c r="F65" s="316">
        <v>6302000</v>
      </c>
      <c r="G65" s="316">
        <v>11238000</v>
      </c>
      <c r="H65" s="316">
        <v>14653650</v>
      </c>
      <c r="I65" s="316">
        <v>17987700</v>
      </c>
      <c r="J65" s="316">
        <v>14500150</v>
      </c>
      <c r="K65" s="316">
        <v>10639000</v>
      </c>
      <c r="L65" s="316">
        <v>6977000</v>
      </c>
      <c r="M65" s="316">
        <v>2248000</v>
      </c>
      <c r="N65" s="316">
        <f t="shared" si="4"/>
        <v>85045500</v>
      </c>
    </row>
    <row r="66" spans="1:14">
      <c r="A66" s="90" t="s">
        <v>426</v>
      </c>
      <c r="B66" s="316">
        <v>0</v>
      </c>
      <c r="C66" s="316">
        <v>0</v>
      </c>
      <c r="D66" s="316">
        <v>0</v>
      </c>
      <c r="E66" s="316">
        <v>240000</v>
      </c>
      <c r="F66" s="316">
        <v>8037000</v>
      </c>
      <c r="G66" s="316">
        <v>8082000</v>
      </c>
      <c r="H66" s="316">
        <v>15343850</v>
      </c>
      <c r="I66" s="316">
        <v>16905550</v>
      </c>
      <c r="J66" s="316">
        <v>13229000</v>
      </c>
      <c r="K66" s="316">
        <v>8946000</v>
      </c>
      <c r="L66" s="316">
        <v>4614000</v>
      </c>
      <c r="M66" s="316">
        <v>2355000</v>
      </c>
      <c r="N66" s="316">
        <f t="shared" si="4"/>
        <v>77752400</v>
      </c>
    </row>
    <row r="67" spans="1:14">
      <c r="A67" s="90" t="s">
        <v>462</v>
      </c>
      <c r="B67" s="316">
        <v>0</v>
      </c>
      <c r="C67" s="316">
        <v>0</v>
      </c>
      <c r="D67" s="316">
        <v>0</v>
      </c>
      <c r="E67" s="316">
        <v>0</v>
      </c>
      <c r="F67" s="316">
        <v>4343000</v>
      </c>
      <c r="G67" s="316">
        <v>10898184</v>
      </c>
      <c r="H67" s="316">
        <v>16562800</v>
      </c>
      <c r="I67" s="316">
        <v>15380540</v>
      </c>
      <c r="J67" s="316">
        <v>12788000</v>
      </c>
      <c r="K67" s="316">
        <v>12000000</v>
      </c>
      <c r="L67" s="316">
        <v>6904000</v>
      </c>
      <c r="M67" s="316">
        <v>1932000</v>
      </c>
      <c r="N67" s="316">
        <f t="shared" si="4"/>
        <v>80808524</v>
      </c>
    </row>
    <row r="68" spans="1:14">
      <c r="A68" s="90" t="s">
        <v>496</v>
      </c>
      <c r="B68" s="316">
        <v>0</v>
      </c>
      <c r="C68" s="316">
        <v>0</v>
      </c>
      <c r="D68" s="316">
        <v>0</v>
      </c>
      <c r="E68" s="316">
        <v>119000</v>
      </c>
      <c r="F68" s="316">
        <v>4726000</v>
      </c>
      <c r="G68" s="316">
        <v>9983000</v>
      </c>
      <c r="H68" s="316">
        <v>12738000</v>
      </c>
      <c r="I68" s="316">
        <v>12291000</v>
      </c>
      <c r="J68" s="316">
        <v>11934000</v>
      </c>
      <c r="K68" s="316">
        <v>6124000</v>
      </c>
      <c r="L68" s="316">
        <v>5408000</v>
      </c>
      <c r="M68" s="316">
        <v>1268000</v>
      </c>
      <c r="N68" s="316">
        <f>SUM(B68:M68)</f>
        <v>64591000</v>
      </c>
    </row>
    <row r="69" spans="1:14">
      <c r="A69" s="90" t="s">
        <v>522</v>
      </c>
      <c r="B69" s="316">
        <v>0</v>
      </c>
      <c r="C69" s="316">
        <v>0</v>
      </c>
      <c r="D69" s="316">
        <v>0</v>
      </c>
      <c r="E69" s="316">
        <v>622000</v>
      </c>
      <c r="F69" s="316">
        <v>6898000</v>
      </c>
      <c r="G69" s="316">
        <v>9891000</v>
      </c>
      <c r="H69" s="316">
        <v>13579000</v>
      </c>
      <c r="I69" s="316">
        <v>14777000</v>
      </c>
      <c r="J69" s="316">
        <v>11905700</v>
      </c>
      <c r="K69" s="316">
        <v>13268100</v>
      </c>
      <c r="L69" s="316">
        <v>8624000</v>
      </c>
      <c r="M69" s="316">
        <v>2745000</v>
      </c>
      <c r="N69" s="316">
        <f>SUM(B69:M69)</f>
        <v>82309800</v>
      </c>
    </row>
    <row r="70" spans="1:14">
      <c r="B70" s="134"/>
      <c r="C70" s="134"/>
      <c r="D70" s="134"/>
      <c r="E70" s="134"/>
      <c r="F70" s="134"/>
      <c r="G70" s="134"/>
      <c r="H70" s="134"/>
      <c r="I70" s="134"/>
      <c r="J70" s="134"/>
      <c r="K70" s="134"/>
      <c r="L70" s="134"/>
      <c r="M70" s="134"/>
      <c r="N70" s="79"/>
    </row>
    <row r="71" spans="1:14">
      <c r="A71" s="78" t="s">
        <v>207</v>
      </c>
      <c r="B71" s="149">
        <v>309.25</v>
      </c>
      <c r="C71" s="149">
        <v>309.25</v>
      </c>
      <c r="D71" s="149">
        <v>309.25</v>
      </c>
      <c r="E71" s="149">
        <v>4947.46</v>
      </c>
      <c r="F71" s="149">
        <v>39439.269999999997</v>
      </c>
      <c r="G71" s="149">
        <v>56828.56</v>
      </c>
      <c r="H71" s="149">
        <v>52623.49</v>
      </c>
      <c r="I71" s="149">
        <v>67888.929999999993</v>
      </c>
      <c r="J71" s="149">
        <v>71725.89</v>
      </c>
      <c r="K71" s="149">
        <v>70425.72</v>
      </c>
      <c r="L71" s="149">
        <v>51597.23</v>
      </c>
      <c r="M71" s="149">
        <v>16045.48</v>
      </c>
      <c r="N71" s="82">
        <f t="shared" ref="N71:N81" si="5">SUM(B71:M71)</f>
        <v>432449.77999999991</v>
      </c>
    </row>
    <row r="72" spans="1:14">
      <c r="A72" s="78" t="s">
        <v>279</v>
      </c>
      <c r="B72" s="149">
        <v>309.25</v>
      </c>
      <c r="C72" s="149">
        <v>314.99</v>
      </c>
      <c r="D72" s="149">
        <v>309.25</v>
      </c>
      <c r="E72" s="149">
        <v>9400.35</v>
      </c>
      <c r="F72" s="149">
        <v>34165.61</v>
      </c>
      <c r="G72" s="149">
        <v>62379.69</v>
      </c>
      <c r="H72" s="149">
        <v>58806.6</v>
      </c>
      <c r="I72" s="149">
        <v>78433.710000000006</v>
      </c>
      <c r="J72" s="149">
        <v>73578.58</v>
      </c>
      <c r="K72" s="149">
        <v>54570.84</v>
      </c>
      <c r="L72" s="149">
        <v>37895.53</v>
      </c>
      <c r="M72" s="149">
        <v>13590.76</v>
      </c>
      <c r="N72" s="82">
        <f t="shared" si="5"/>
        <v>423755.16000000003</v>
      </c>
    </row>
    <row r="73" spans="1:14" s="299" customFormat="1">
      <c r="A73" s="78" t="s">
        <v>299</v>
      </c>
      <c r="B73" s="78">
        <v>388.45</v>
      </c>
      <c r="C73" s="78">
        <v>309.75</v>
      </c>
      <c r="D73" s="78">
        <v>309.75</v>
      </c>
      <c r="E73" s="78">
        <v>331.77</v>
      </c>
      <c r="F73" s="78">
        <v>34964.75</v>
      </c>
      <c r="G73" s="78">
        <v>47832.31</v>
      </c>
      <c r="H73" s="78">
        <v>83109.119999999995</v>
      </c>
      <c r="I73" s="78">
        <v>95724.32</v>
      </c>
      <c r="J73" s="78">
        <v>64052.589</v>
      </c>
      <c r="K73" s="78">
        <v>76128.133000000002</v>
      </c>
      <c r="L73" s="78">
        <v>47603.27</v>
      </c>
      <c r="M73" s="78">
        <v>11156.42</v>
      </c>
      <c r="N73" s="78">
        <f t="shared" si="5"/>
        <v>461910.63199999993</v>
      </c>
    </row>
    <row r="74" spans="1:14" s="299" customFormat="1">
      <c r="A74" s="297" t="s">
        <v>300</v>
      </c>
      <c r="B74" s="300">
        <v>324.12</v>
      </c>
      <c r="C74" s="300">
        <v>324.12</v>
      </c>
      <c r="D74" s="300">
        <v>324.12</v>
      </c>
      <c r="E74" s="300">
        <v>14185.86</v>
      </c>
      <c r="F74" s="300">
        <v>110146.71</v>
      </c>
      <c r="G74" s="300">
        <v>148118.98000000001</v>
      </c>
      <c r="H74" s="300">
        <v>129734.79</v>
      </c>
      <c r="I74" s="300">
        <v>89203.79</v>
      </c>
      <c r="J74" s="300">
        <v>96262.032000000007</v>
      </c>
      <c r="K74" s="300">
        <v>86711.97</v>
      </c>
      <c r="L74" s="300">
        <v>30262.51</v>
      </c>
      <c r="M74" s="300">
        <v>9876.74</v>
      </c>
      <c r="N74" s="298">
        <f t="shared" si="5"/>
        <v>715475.74199999997</v>
      </c>
    </row>
    <row r="75" spans="1:14" s="299" customFormat="1">
      <c r="A75" s="297" t="s">
        <v>322</v>
      </c>
      <c r="B75" s="300">
        <v>499.54</v>
      </c>
      <c r="C75" s="300">
        <v>309.75</v>
      </c>
      <c r="D75" s="300">
        <v>309.75</v>
      </c>
      <c r="E75" s="300">
        <v>18234.87</v>
      </c>
      <c r="F75" s="300">
        <v>39441.440000000002</v>
      </c>
      <c r="G75" s="300">
        <v>71395.899999999994</v>
      </c>
      <c r="H75" s="300">
        <v>66739.42</v>
      </c>
      <c r="I75" s="300">
        <v>73583.12</v>
      </c>
      <c r="J75" s="300">
        <v>77936.649999999994</v>
      </c>
      <c r="K75" s="300">
        <v>21428.1</v>
      </c>
      <c r="L75" s="300">
        <v>44747.94</v>
      </c>
      <c r="M75" s="300">
        <v>6513.7</v>
      </c>
      <c r="N75" s="298">
        <f t="shared" si="5"/>
        <v>421140.17999999993</v>
      </c>
    </row>
    <row r="76" spans="1:14">
      <c r="A76" s="297" t="s">
        <v>369</v>
      </c>
      <c r="B76" s="300">
        <v>306.20999999999998</v>
      </c>
      <c r="C76" s="300">
        <v>306.20999999999998</v>
      </c>
      <c r="D76" s="300">
        <v>306.20999999999998</v>
      </c>
      <c r="E76" s="300">
        <v>306.20999999999998</v>
      </c>
      <c r="F76" s="300">
        <v>36287.47</v>
      </c>
      <c r="G76" s="300">
        <v>92517.5</v>
      </c>
      <c r="H76" s="300">
        <v>133687.67000000001</v>
      </c>
      <c r="I76" s="300">
        <v>149480.89000000001</v>
      </c>
      <c r="J76" s="300">
        <v>151876.01</v>
      </c>
      <c r="K76" s="300">
        <v>122751.25</v>
      </c>
      <c r="L76" s="300">
        <v>77871.16</v>
      </c>
      <c r="M76" s="300">
        <v>21216.32</v>
      </c>
      <c r="N76" s="298">
        <f t="shared" si="5"/>
        <v>786913.11</v>
      </c>
    </row>
    <row r="77" spans="1:14" s="299" customFormat="1">
      <c r="A77" s="360" t="s">
        <v>381</v>
      </c>
      <c r="B77" s="300">
        <v>311.17</v>
      </c>
      <c r="C77" s="300">
        <v>311.17</v>
      </c>
      <c r="D77" s="300">
        <v>311.17</v>
      </c>
      <c r="E77" s="300">
        <v>4061.93</v>
      </c>
      <c r="F77" s="300">
        <v>40229.89</v>
      </c>
      <c r="G77" s="300">
        <v>82558.789999999994</v>
      </c>
      <c r="H77" s="300">
        <v>98179.09</v>
      </c>
      <c r="I77" s="300">
        <v>103166.7</v>
      </c>
      <c r="J77" s="300">
        <v>72481.179999999993</v>
      </c>
      <c r="K77" s="300">
        <v>62952.84</v>
      </c>
      <c r="L77" s="300">
        <v>40032.85</v>
      </c>
      <c r="M77" s="300">
        <v>10177.040000000001</v>
      </c>
      <c r="N77" s="298">
        <f t="shared" si="5"/>
        <v>514773.81999999989</v>
      </c>
    </row>
    <row r="78" spans="1:14" s="299" customFormat="1">
      <c r="A78" s="360" t="s">
        <v>425</v>
      </c>
      <c r="B78" s="300">
        <v>311.17</v>
      </c>
      <c r="C78" s="300">
        <v>311.17</v>
      </c>
      <c r="D78" s="300">
        <v>311.17</v>
      </c>
      <c r="E78" s="300">
        <v>1220.71</v>
      </c>
      <c r="F78" s="300">
        <v>39543.949999999997</v>
      </c>
      <c r="G78" s="300">
        <v>46604.18</v>
      </c>
      <c r="H78" s="300">
        <v>90230.77</v>
      </c>
      <c r="I78" s="300">
        <v>120373.71</v>
      </c>
      <c r="J78" s="300">
        <v>79086.91</v>
      </c>
      <c r="K78" s="300">
        <v>47115.83</v>
      </c>
      <c r="L78" s="300">
        <v>23692.3</v>
      </c>
      <c r="M78" s="300">
        <v>12631.13</v>
      </c>
      <c r="N78" s="298">
        <f t="shared" si="5"/>
        <v>461433</v>
      </c>
    </row>
    <row r="79" spans="1:14">
      <c r="A79" s="360" t="s">
        <v>459</v>
      </c>
      <c r="B79" s="300">
        <v>332.59</v>
      </c>
      <c r="C79" s="300">
        <v>338.12</v>
      </c>
      <c r="D79" s="300">
        <v>332.59</v>
      </c>
      <c r="E79" s="300">
        <v>337</v>
      </c>
      <c r="F79" s="300">
        <v>21530</v>
      </c>
      <c r="G79" s="300">
        <v>57297</v>
      </c>
      <c r="H79" s="300">
        <v>100001</v>
      </c>
      <c r="I79" s="300">
        <v>90111</v>
      </c>
      <c r="J79" s="417">
        <v>76186</v>
      </c>
      <c r="K79" s="417">
        <v>69476</v>
      </c>
      <c r="L79" s="417">
        <v>68991</v>
      </c>
      <c r="M79" s="417">
        <v>9842.2199999999993</v>
      </c>
      <c r="N79" s="423">
        <f>SUM(B79:M79)</f>
        <v>494774.51999999996</v>
      </c>
    </row>
    <row r="80" spans="1:14">
      <c r="A80" s="360" t="s">
        <v>495</v>
      </c>
      <c r="B80" s="300">
        <v>311.17</v>
      </c>
      <c r="C80" s="300">
        <v>311.17</v>
      </c>
      <c r="D80" s="300">
        <v>311.17</v>
      </c>
      <c r="E80" s="300">
        <v>921</v>
      </c>
      <c r="F80" s="300">
        <v>24175</v>
      </c>
      <c r="G80" s="436">
        <v>52924</v>
      </c>
      <c r="H80" s="436">
        <v>66790</v>
      </c>
      <c r="I80" s="300">
        <v>60419</v>
      </c>
      <c r="J80" s="300">
        <v>56345</v>
      </c>
      <c r="K80" s="300">
        <v>28973</v>
      </c>
      <c r="L80" s="300">
        <v>20384</v>
      </c>
      <c r="M80" s="300">
        <v>4172</v>
      </c>
      <c r="N80" s="423">
        <f t="shared" si="5"/>
        <v>316036.51</v>
      </c>
    </row>
    <row r="81" spans="1:14">
      <c r="A81" s="360" t="s">
        <v>521</v>
      </c>
      <c r="B81" s="300">
        <v>311.17</v>
      </c>
      <c r="C81" s="300">
        <v>311.17</v>
      </c>
      <c r="D81" s="300">
        <v>311.17</v>
      </c>
      <c r="E81" s="417">
        <v>2573</v>
      </c>
      <c r="F81" s="417">
        <v>28322</v>
      </c>
      <c r="G81" s="417">
        <v>46005</v>
      </c>
      <c r="H81" s="417">
        <v>63048</v>
      </c>
      <c r="I81" s="417">
        <v>63343</v>
      </c>
      <c r="J81" s="417">
        <v>60296</v>
      </c>
      <c r="K81" s="417">
        <v>71437</v>
      </c>
      <c r="L81" s="417">
        <v>43192</v>
      </c>
      <c r="M81" s="417">
        <v>14660</v>
      </c>
      <c r="N81" s="423">
        <f t="shared" si="5"/>
        <v>393809.51</v>
      </c>
    </row>
  </sheetData>
  <phoneticPr fontId="0" type="noConversion"/>
  <printOptions horizontalCentered="1" verticalCentered="1" gridLines="1" gridLinesSet="0"/>
  <pageMargins left="0.25" right="0" top="0.75" bottom="0.75" header="0.3" footer="0.3"/>
  <pageSetup paperSize="17" fitToWidth="0" orientation="landscape" r:id="rId1"/>
  <headerFooter alignWithMargins="0">
    <oddHeader>&amp;A</oddHeader>
    <oddFooter>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 codeName="Sheet13">
    <pageSetUpPr fitToPage="1"/>
  </sheetPr>
  <dimension ref="A1:AP30"/>
  <sheetViews>
    <sheetView view="pageBreakPreview" zoomScale="85" zoomScaleNormal="100" workbookViewId="0">
      <selection activeCell="AB22" sqref="AB22"/>
    </sheetView>
  </sheetViews>
  <sheetFormatPr defaultRowHeight="12.75"/>
  <cols>
    <col min="2" max="2" width="9" customWidth="1"/>
    <col min="3" max="11" width="6.140625" customWidth="1"/>
    <col min="12" max="12" width="6.5703125" bestFit="1" customWidth="1"/>
    <col min="13" max="24" width="6.140625" customWidth="1"/>
    <col min="25" max="25" width="12.42578125" style="70" bestFit="1" customWidth="1"/>
    <col min="26" max="26" width="5.140625" customWidth="1"/>
    <col min="27" max="27" width="4.85546875" bestFit="1" customWidth="1"/>
    <col min="28" max="30" width="11.140625" bestFit="1" customWidth="1"/>
    <col min="31" max="31" width="11.42578125" bestFit="1" customWidth="1"/>
  </cols>
  <sheetData>
    <row r="1" spans="1:34" ht="13.5" thickBot="1"/>
    <row r="2" spans="1:34">
      <c r="B2" s="48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  <c r="Y2" s="47"/>
      <c r="Z2" s="47"/>
    </row>
    <row r="3" spans="1:34">
      <c r="B3" s="50" t="s">
        <v>75</v>
      </c>
      <c r="C3" s="50" t="s">
        <v>76</v>
      </c>
      <c r="D3" s="45" t="s">
        <v>77</v>
      </c>
      <c r="E3" s="45" t="s">
        <v>78</v>
      </c>
      <c r="F3" s="45" t="s">
        <v>79</v>
      </c>
      <c r="G3" s="45" t="s">
        <v>80</v>
      </c>
      <c r="H3" s="46" t="s">
        <v>81</v>
      </c>
      <c r="I3" s="46" t="s">
        <v>82</v>
      </c>
      <c r="J3" s="46" t="s">
        <v>83</v>
      </c>
      <c r="K3" s="83" t="s">
        <v>163</v>
      </c>
      <c r="L3" s="83" t="s">
        <v>164</v>
      </c>
      <c r="M3" s="83" t="s">
        <v>165</v>
      </c>
      <c r="N3" s="46" t="s">
        <v>209</v>
      </c>
      <c r="O3" s="46" t="s">
        <v>282</v>
      </c>
      <c r="P3" s="46" t="s">
        <v>326</v>
      </c>
      <c r="Q3" s="46" t="s">
        <v>301</v>
      </c>
      <c r="R3" s="46" t="s">
        <v>327</v>
      </c>
      <c r="S3" s="46" t="s">
        <v>361</v>
      </c>
      <c r="T3" s="46" t="s">
        <v>374</v>
      </c>
      <c r="U3" s="366" t="s">
        <v>387</v>
      </c>
      <c r="V3" s="413" t="s">
        <v>451</v>
      </c>
      <c r="W3" s="413" t="s">
        <v>489</v>
      </c>
      <c r="X3" s="413" t="s">
        <v>510</v>
      </c>
      <c r="Y3" s="442" t="s">
        <v>511</v>
      </c>
      <c r="Z3" s="44"/>
      <c r="AB3" s="413" t="s">
        <v>453</v>
      </c>
      <c r="AC3" s="413" t="s">
        <v>497</v>
      </c>
      <c r="AD3" s="413" t="s">
        <v>523</v>
      </c>
      <c r="AE3" s="45" t="s">
        <v>281</v>
      </c>
    </row>
    <row r="4" spans="1:34">
      <c r="C4" s="2"/>
      <c r="D4" s="2"/>
      <c r="E4" s="2"/>
      <c r="F4" s="2"/>
      <c r="G4" s="2"/>
      <c r="H4" s="2"/>
      <c r="I4" s="2"/>
      <c r="J4" s="2"/>
      <c r="K4" s="2"/>
      <c r="L4" s="2"/>
      <c r="Y4" s="150"/>
      <c r="Z4" s="2"/>
      <c r="AE4" s="2"/>
    </row>
    <row r="5" spans="1:34" ht="15.75">
      <c r="A5" s="42" t="s">
        <v>0</v>
      </c>
      <c r="B5" s="139">
        <v>25</v>
      </c>
      <c r="C5" s="139">
        <v>48</v>
      </c>
      <c r="D5" s="139">
        <v>38</v>
      </c>
      <c r="E5" s="139">
        <v>29</v>
      </c>
      <c r="F5" s="139">
        <v>6</v>
      </c>
      <c r="G5" s="139">
        <v>30</v>
      </c>
      <c r="H5" s="140">
        <v>30</v>
      </c>
      <c r="I5" s="140">
        <v>10</v>
      </c>
      <c r="J5" s="140">
        <v>80</v>
      </c>
      <c r="K5" s="134">
        <v>68</v>
      </c>
      <c r="L5" s="137">
        <v>64</v>
      </c>
      <c r="M5" s="134">
        <v>63</v>
      </c>
      <c r="N5" s="134">
        <v>35</v>
      </c>
      <c r="O5" s="134">
        <v>47</v>
      </c>
      <c r="P5" s="134">
        <v>72</v>
      </c>
      <c r="Q5" s="294">
        <v>1</v>
      </c>
      <c r="R5" s="294">
        <v>21</v>
      </c>
      <c r="S5" s="294">
        <v>14</v>
      </c>
      <c r="T5" s="294">
        <v>22</v>
      </c>
      <c r="U5" s="294">
        <v>83</v>
      </c>
      <c r="V5" s="294">
        <v>52</v>
      </c>
      <c r="W5" s="294">
        <v>72</v>
      </c>
      <c r="X5" s="294">
        <v>0</v>
      </c>
      <c r="Y5" s="461">
        <f>SUM(G5:X5)/18</f>
        <v>42.444444444444443</v>
      </c>
      <c r="Z5" s="1"/>
      <c r="AA5" s="42" t="s">
        <v>0</v>
      </c>
      <c r="AB5" s="294">
        <v>52</v>
      </c>
      <c r="AC5" s="294">
        <v>72</v>
      </c>
      <c r="AD5" s="294">
        <v>0</v>
      </c>
      <c r="AE5" s="303">
        <f>SUM(AB5:AD5)/3</f>
        <v>41.333333333333336</v>
      </c>
      <c r="AF5" s="1"/>
      <c r="AG5" s="1"/>
      <c r="AH5" s="1"/>
    </row>
    <row r="6" spans="1:34" ht="15.75">
      <c r="A6" s="42" t="s">
        <v>1</v>
      </c>
      <c r="B6" s="141">
        <v>3</v>
      </c>
      <c r="C6" s="141">
        <v>46</v>
      </c>
      <c r="D6" s="141">
        <v>12</v>
      </c>
      <c r="E6" s="141">
        <v>0</v>
      </c>
      <c r="F6" s="141">
        <v>0</v>
      </c>
      <c r="G6" s="141">
        <v>2</v>
      </c>
      <c r="H6" s="142">
        <v>0</v>
      </c>
      <c r="I6" s="142">
        <v>21</v>
      </c>
      <c r="J6" s="142">
        <v>0</v>
      </c>
      <c r="K6" s="134">
        <v>0</v>
      </c>
      <c r="L6" s="138">
        <v>14</v>
      </c>
      <c r="M6" s="134">
        <v>9</v>
      </c>
      <c r="N6" s="134">
        <v>0</v>
      </c>
      <c r="O6" s="134">
        <v>2</v>
      </c>
      <c r="P6" s="134">
        <v>12</v>
      </c>
      <c r="Q6" s="294">
        <v>2</v>
      </c>
      <c r="R6" s="294">
        <v>0</v>
      </c>
      <c r="S6" s="294">
        <v>0</v>
      </c>
      <c r="T6" s="294">
        <v>0</v>
      </c>
      <c r="U6" s="294">
        <v>40</v>
      </c>
      <c r="V6" s="294">
        <v>6</v>
      </c>
      <c r="W6" s="274">
        <v>2</v>
      </c>
      <c r="X6" s="274">
        <v>2</v>
      </c>
      <c r="Y6" s="461">
        <f t="shared" ref="Y6:Y18" si="0">SUM(G6:X6)/18</f>
        <v>6.2222222222222223</v>
      </c>
      <c r="Z6" s="274"/>
      <c r="AA6" s="42" t="s">
        <v>1</v>
      </c>
      <c r="AB6" s="294">
        <v>6</v>
      </c>
      <c r="AC6" s="274">
        <v>2</v>
      </c>
      <c r="AD6" s="274">
        <v>2</v>
      </c>
      <c r="AE6" s="303">
        <f t="shared" ref="AE6:AE18" si="1">SUM(AB6:AD6)/3</f>
        <v>3.3333333333333335</v>
      </c>
      <c r="AF6" s="1"/>
      <c r="AG6" s="1"/>
      <c r="AH6" s="1"/>
    </row>
    <row r="7" spans="1:34" ht="15.75">
      <c r="A7" s="42" t="s">
        <v>2</v>
      </c>
      <c r="B7" s="141">
        <v>1</v>
      </c>
      <c r="C7" s="141">
        <v>79</v>
      </c>
      <c r="D7" s="141">
        <v>21</v>
      </c>
      <c r="E7" s="141">
        <v>2</v>
      </c>
      <c r="F7" s="141">
        <v>0</v>
      </c>
      <c r="G7" s="141">
        <v>0</v>
      </c>
      <c r="H7" s="142">
        <v>0</v>
      </c>
      <c r="I7" s="142">
        <v>29</v>
      </c>
      <c r="J7" s="142">
        <v>1</v>
      </c>
      <c r="K7" s="134">
        <v>5</v>
      </c>
      <c r="L7" s="138">
        <v>1</v>
      </c>
      <c r="M7" s="134">
        <v>5</v>
      </c>
      <c r="N7" s="134">
        <v>4</v>
      </c>
      <c r="O7" s="134">
        <v>0</v>
      </c>
      <c r="P7" s="134">
        <v>58</v>
      </c>
      <c r="Q7" s="294">
        <v>5</v>
      </c>
      <c r="R7" s="294">
        <v>0</v>
      </c>
      <c r="S7" s="294">
        <v>15</v>
      </c>
      <c r="T7" s="294">
        <v>0</v>
      </c>
      <c r="U7" s="294">
        <v>52</v>
      </c>
      <c r="V7" s="294">
        <v>12</v>
      </c>
      <c r="W7" s="274">
        <v>21</v>
      </c>
      <c r="X7" s="274">
        <v>40</v>
      </c>
      <c r="Y7" s="461">
        <f t="shared" si="0"/>
        <v>13.777777777777779</v>
      </c>
      <c r="Z7" s="274"/>
      <c r="AA7" s="42" t="s">
        <v>2</v>
      </c>
      <c r="AB7" s="294">
        <v>12</v>
      </c>
      <c r="AC7" s="274">
        <v>21</v>
      </c>
      <c r="AD7" s="274">
        <v>40</v>
      </c>
      <c r="AE7" s="303">
        <f t="shared" si="1"/>
        <v>24.333333333333332</v>
      </c>
      <c r="AF7" s="1"/>
      <c r="AG7" s="1"/>
      <c r="AH7" s="1"/>
    </row>
    <row r="8" spans="1:34" ht="15.75">
      <c r="A8" s="42" t="s">
        <v>3</v>
      </c>
      <c r="B8" s="141">
        <v>86</v>
      </c>
      <c r="C8" s="141">
        <v>339</v>
      </c>
      <c r="D8" s="141">
        <v>114</v>
      </c>
      <c r="E8" s="141">
        <v>226</v>
      </c>
      <c r="F8" s="141">
        <v>88</v>
      </c>
      <c r="G8" s="141">
        <v>188</v>
      </c>
      <c r="H8" s="142">
        <v>123</v>
      </c>
      <c r="I8" s="142">
        <v>97</v>
      </c>
      <c r="J8" s="142">
        <v>67</v>
      </c>
      <c r="K8" s="134">
        <v>177</v>
      </c>
      <c r="L8" s="138">
        <v>152</v>
      </c>
      <c r="M8" s="134">
        <v>183</v>
      </c>
      <c r="N8" s="134">
        <v>132</v>
      </c>
      <c r="O8" s="134">
        <v>188</v>
      </c>
      <c r="P8" s="134">
        <v>74</v>
      </c>
      <c r="Q8" s="294">
        <v>69</v>
      </c>
      <c r="R8" s="294">
        <v>220</v>
      </c>
      <c r="S8" s="294">
        <v>121</v>
      </c>
      <c r="T8" s="294">
        <v>121</v>
      </c>
      <c r="U8" s="294">
        <v>86</v>
      </c>
      <c r="V8" s="294">
        <v>189</v>
      </c>
      <c r="W8" s="274">
        <v>196</v>
      </c>
      <c r="X8" s="274">
        <v>107</v>
      </c>
      <c r="Y8" s="461">
        <f t="shared" si="0"/>
        <v>138.33333333333334</v>
      </c>
      <c r="Z8" s="274"/>
      <c r="AA8" s="42" t="s">
        <v>3</v>
      </c>
      <c r="AB8" s="294">
        <v>189</v>
      </c>
      <c r="AC8" s="274">
        <v>196</v>
      </c>
      <c r="AD8" s="274">
        <v>107</v>
      </c>
      <c r="AE8" s="303">
        <f t="shared" si="1"/>
        <v>164</v>
      </c>
      <c r="AF8" s="1"/>
      <c r="AG8" s="1"/>
      <c r="AH8" s="1"/>
    </row>
    <row r="9" spans="1:34" ht="15.75">
      <c r="A9" s="42" t="s">
        <v>4</v>
      </c>
      <c r="B9" s="141">
        <v>425</v>
      </c>
      <c r="C9" s="141">
        <v>668</v>
      </c>
      <c r="D9" s="141">
        <v>493</v>
      </c>
      <c r="E9" s="141">
        <v>462</v>
      </c>
      <c r="F9" s="141">
        <v>336</v>
      </c>
      <c r="G9" s="141">
        <v>485</v>
      </c>
      <c r="H9" s="142">
        <v>438</v>
      </c>
      <c r="I9" s="142">
        <v>465</v>
      </c>
      <c r="J9" s="142">
        <v>465</v>
      </c>
      <c r="K9" s="134">
        <v>489</v>
      </c>
      <c r="L9" s="138">
        <v>364</v>
      </c>
      <c r="M9" s="134">
        <v>513</v>
      </c>
      <c r="N9" s="134">
        <v>725</v>
      </c>
      <c r="O9" s="134">
        <v>448</v>
      </c>
      <c r="P9" s="134">
        <v>484</v>
      </c>
      <c r="Q9" s="294">
        <v>431</v>
      </c>
      <c r="R9" s="294">
        <v>598</v>
      </c>
      <c r="S9" s="294">
        <v>369</v>
      </c>
      <c r="T9" s="294">
        <v>469</v>
      </c>
      <c r="U9" s="294">
        <v>671</v>
      </c>
      <c r="V9" s="294">
        <v>393</v>
      </c>
      <c r="W9" s="274">
        <v>392</v>
      </c>
      <c r="X9" s="274">
        <v>515</v>
      </c>
      <c r="Y9" s="461">
        <f t="shared" si="0"/>
        <v>484.11111111111109</v>
      </c>
      <c r="Z9" s="274"/>
      <c r="AA9" s="42" t="s">
        <v>4</v>
      </c>
      <c r="AB9" s="294">
        <v>393</v>
      </c>
      <c r="AC9" s="274">
        <v>392</v>
      </c>
      <c r="AD9" s="274">
        <v>515</v>
      </c>
      <c r="AE9" s="303">
        <f t="shared" si="1"/>
        <v>433.33333333333331</v>
      </c>
      <c r="AF9" s="1"/>
      <c r="AG9" s="1"/>
      <c r="AH9" s="1"/>
    </row>
    <row r="10" spans="1:34" ht="15.75">
      <c r="A10" s="42" t="s">
        <v>5</v>
      </c>
      <c r="B10" s="141">
        <v>689</v>
      </c>
      <c r="C10" s="141">
        <v>1300</v>
      </c>
      <c r="D10" s="141">
        <v>927</v>
      </c>
      <c r="E10" s="141">
        <v>910</v>
      </c>
      <c r="F10" s="141">
        <v>743</v>
      </c>
      <c r="G10" s="141">
        <v>1038</v>
      </c>
      <c r="H10" s="142">
        <v>1100</v>
      </c>
      <c r="I10" s="142">
        <v>1068</v>
      </c>
      <c r="J10" s="142">
        <v>826</v>
      </c>
      <c r="K10" s="134">
        <v>682</v>
      </c>
      <c r="L10" s="138">
        <v>1006</v>
      </c>
      <c r="M10" s="134">
        <v>301</v>
      </c>
      <c r="N10" s="134">
        <v>977</v>
      </c>
      <c r="O10" s="134">
        <v>969</v>
      </c>
      <c r="P10" s="134">
        <v>809</v>
      </c>
      <c r="Q10" s="294">
        <v>824</v>
      </c>
      <c r="R10" s="294">
        <v>844</v>
      </c>
      <c r="S10" s="294">
        <v>916</v>
      </c>
      <c r="T10" s="294">
        <v>904</v>
      </c>
      <c r="U10" s="294">
        <v>677</v>
      </c>
      <c r="V10" s="294">
        <v>900</v>
      </c>
      <c r="W10" s="294">
        <v>797</v>
      </c>
      <c r="X10" s="294">
        <v>811</v>
      </c>
      <c r="Y10" s="461">
        <f t="shared" si="0"/>
        <v>858.27777777777783</v>
      </c>
      <c r="Z10" s="1"/>
      <c r="AA10" s="42" t="s">
        <v>5</v>
      </c>
      <c r="AB10" s="294">
        <v>900</v>
      </c>
      <c r="AC10" s="294">
        <v>797</v>
      </c>
      <c r="AD10" s="294">
        <v>811</v>
      </c>
      <c r="AE10" s="303">
        <f t="shared" si="1"/>
        <v>836</v>
      </c>
      <c r="AF10" s="1"/>
      <c r="AG10" s="1"/>
      <c r="AH10" s="1"/>
    </row>
    <row r="11" spans="1:34" ht="15.75">
      <c r="A11" s="42" t="s">
        <v>6</v>
      </c>
      <c r="B11" s="141">
        <v>1502</v>
      </c>
      <c r="C11" s="141">
        <v>1441</v>
      </c>
      <c r="D11" s="141">
        <v>1255</v>
      </c>
      <c r="E11" s="141">
        <v>1155</v>
      </c>
      <c r="F11" s="141">
        <v>1155</v>
      </c>
      <c r="G11" s="141">
        <v>1346</v>
      </c>
      <c r="H11" s="142">
        <v>1399</v>
      </c>
      <c r="I11" s="142">
        <v>1160</v>
      </c>
      <c r="J11" s="142">
        <v>1208</v>
      </c>
      <c r="K11" s="134">
        <v>1189</v>
      </c>
      <c r="L11" s="138">
        <v>1753</v>
      </c>
      <c r="M11" s="134">
        <v>1148</v>
      </c>
      <c r="N11" s="134">
        <v>1200</v>
      </c>
      <c r="O11" s="134">
        <v>1227</v>
      </c>
      <c r="P11" s="134">
        <v>1328</v>
      </c>
      <c r="Q11" s="294">
        <v>1390</v>
      </c>
      <c r="R11" s="294">
        <v>1115</v>
      </c>
      <c r="S11" s="294">
        <v>1472</v>
      </c>
      <c r="T11" s="294">
        <v>1574</v>
      </c>
      <c r="U11" s="294">
        <v>1455</v>
      </c>
      <c r="V11" s="294">
        <v>1491</v>
      </c>
      <c r="W11" s="294">
        <v>1151</v>
      </c>
      <c r="X11" s="294">
        <v>1222</v>
      </c>
      <c r="Y11" s="461">
        <f t="shared" si="0"/>
        <v>1323.7777777777778</v>
      </c>
      <c r="Z11" s="1"/>
      <c r="AA11" s="42" t="s">
        <v>6</v>
      </c>
      <c r="AB11" s="294">
        <v>1491</v>
      </c>
      <c r="AC11" s="294">
        <v>1151</v>
      </c>
      <c r="AD11" s="294">
        <v>1222</v>
      </c>
      <c r="AE11" s="303">
        <f t="shared" si="1"/>
        <v>1288</v>
      </c>
      <c r="AF11" s="1"/>
      <c r="AG11" s="1"/>
      <c r="AH11" s="1"/>
    </row>
    <row r="12" spans="1:34" ht="15.75">
      <c r="A12" s="42" t="s">
        <v>7</v>
      </c>
      <c r="B12" s="141">
        <v>1722</v>
      </c>
      <c r="C12" s="141">
        <v>1405</v>
      </c>
      <c r="D12" s="141">
        <v>1384</v>
      </c>
      <c r="E12" s="141">
        <v>1692</v>
      </c>
      <c r="F12" s="141">
        <v>1275</v>
      </c>
      <c r="G12" s="141">
        <v>1596</v>
      </c>
      <c r="H12" s="142">
        <v>1502</v>
      </c>
      <c r="I12" s="142">
        <v>1338</v>
      </c>
      <c r="J12" s="142">
        <v>1558</v>
      </c>
      <c r="K12" s="134">
        <v>1498</v>
      </c>
      <c r="L12" s="138">
        <v>1350</v>
      </c>
      <c r="M12" s="134">
        <v>1234</v>
      </c>
      <c r="N12" s="134">
        <v>1540</v>
      </c>
      <c r="O12" s="134">
        <v>1663</v>
      </c>
      <c r="P12" s="134">
        <v>1537</v>
      </c>
      <c r="Q12" s="294">
        <v>1082</v>
      </c>
      <c r="R12" s="294">
        <v>1342</v>
      </c>
      <c r="S12" s="294">
        <v>1576</v>
      </c>
      <c r="T12" s="294">
        <v>1720</v>
      </c>
      <c r="U12" s="294">
        <v>1588</v>
      </c>
      <c r="V12" s="294">
        <v>1620</v>
      </c>
      <c r="W12" s="294">
        <v>1281</v>
      </c>
      <c r="X12" s="294">
        <v>1430</v>
      </c>
      <c r="Y12" s="461">
        <f t="shared" si="0"/>
        <v>1469.7222222222222</v>
      </c>
      <c r="Z12" s="1"/>
      <c r="AA12" s="42" t="s">
        <v>7</v>
      </c>
      <c r="AB12" s="294">
        <v>1620</v>
      </c>
      <c r="AC12" s="294">
        <v>1281</v>
      </c>
      <c r="AD12" s="294">
        <v>1430</v>
      </c>
      <c r="AE12" s="303">
        <f t="shared" si="1"/>
        <v>1443.6666666666667</v>
      </c>
      <c r="AF12" s="1"/>
      <c r="AG12" s="1"/>
      <c r="AH12" s="1"/>
    </row>
    <row r="13" spans="1:34" ht="15.75">
      <c r="A13" s="42" t="s">
        <v>8</v>
      </c>
      <c r="B13" s="141">
        <v>1254</v>
      </c>
      <c r="C13" s="141">
        <v>1151</v>
      </c>
      <c r="D13" s="141">
        <v>1466</v>
      </c>
      <c r="E13" s="141">
        <v>1277</v>
      </c>
      <c r="F13" s="141">
        <v>1090</v>
      </c>
      <c r="G13" s="141">
        <v>1275</v>
      </c>
      <c r="H13" s="142">
        <v>1063</v>
      </c>
      <c r="I13" s="142">
        <v>918</v>
      </c>
      <c r="J13" s="142">
        <v>1033</v>
      </c>
      <c r="K13" s="134">
        <v>1068</v>
      </c>
      <c r="L13" s="138">
        <v>1440</v>
      </c>
      <c r="M13" s="134">
        <v>1014</v>
      </c>
      <c r="N13" s="134">
        <v>1372</v>
      </c>
      <c r="O13" s="134">
        <v>1226</v>
      </c>
      <c r="P13" s="134">
        <v>1073</v>
      </c>
      <c r="Q13" s="294">
        <v>1226</v>
      </c>
      <c r="R13" s="294">
        <v>1432</v>
      </c>
      <c r="S13" s="294">
        <v>1413</v>
      </c>
      <c r="T13" s="294">
        <v>1208</v>
      </c>
      <c r="U13" s="294">
        <v>1256</v>
      </c>
      <c r="V13" s="294">
        <v>1282</v>
      </c>
      <c r="W13" s="294">
        <v>1074</v>
      </c>
      <c r="X13" s="294">
        <v>1258</v>
      </c>
      <c r="Y13" s="461">
        <f t="shared" si="0"/>
        <v>1201.7222222222222</v>
      </c>
      <c r="Z13" s="1"/>
      <c r="AA13" s="42" t="s">
        <v>8</v>
      </c>
      <c r="AB13" s="294">
        <v>1282</v>
      </c>
      <c r="AC13" s="294">
        <v>1274</v>
      </c>
      <c r="AD13" s="294">
        <v>1258</v>
      </c>
      <c r="AE13" s="303">
        <f t="shared" si="1"/>
        <v>1271.3333333333333</v>
      </c>
      <c r="AF13" s="1"/>
      <c r="AG13" s="1"/>
      <c r="AH13" s="1"/>
    </row>
    <row r="14" spans="1:34" ht="15.75">
      <c r="A14" s="42" t="s">
        <v>9</v>
      </c>
      <c r="B14" s="141">
        <v>1146</v>
      </c>
      <c r="C14" s="141">
        <v>922</v>
      </c>
      <c r="D14" s="141">
        <v>948</v>
      </c>
      <c r="E14" s="141">
        <v>796</v>
      </c>
      <c r="F14" s="141">
        <v>739</v>
      </c>
      <c r="G14" s="141">
        <v>1155</v>
      </c>
      <c r="H14" s="142">
        <v>945</v>
      </c>
      <c r="I14" s="142">
        <v>1030</v>
      </c>
      <c r="J14" s="142">
        <v>921</v>
      </c>
      <c r="K14" s="134">
        <v>754</v>
      </c>
      <c r="L14" s="138">
        <v>1113</v>
      </c>
      <c r="M14" s="134">
        <v>1239</v>
      </c>
      <c r="N14" s="134">
        <v>1043</v>
      </c>
      <c r="O14" s="134">
        <v>908</v>
      </c>
      <c r="P14" s="134">
        <v>1019</v>
      </c>
      <c r="Q14" s="294">
        <v>966</v>
      </c>
      <c r="R14" s="294">
        <v>837</v>
      </c>
      <c r="S14" s="294">
        <v>1118</v>
      </c>
      <c r="T14" s="294">
        <v>1004</v>
      </c>
      <c r="U14" s="294">
        <v>736</v>
      </c>
      <c r="V14" s="294">
        <v>1084</v>
      </c>
      <c r="W14" s="294">
        <v>530</v>
      </c>
      <c r="X14" s="294">
        <v>1161</v>
      </c>
      <c r="Y14" s="461">
        <f t="shared" si="0"/>
        <v>975.72222222222217</v>
      </c>
      <c r="Z14" s="1"/>
      <c r="AA14" s="42" t="s">
        <v>9</v>
      </c>
      <c r="AB14" s="294">
        <v>1084</v>
      </c>
      <c r="AC14" s="294">
        <v>530</v>
      </c>
      <c r="AD14" s="294">
        <v>1161</v>
      </c>
      <c r="AE14" s="303">
        <f t="shared" si="1"/>
        <v>925</v>
      </c>
      <c r="AF14" s="1"/>
      <c r="AG14" s="1"/>
      <c r="AH14" s="1"/>
    </row>
    <row r="15" spans="1:34" ht="15.75">
      <c r="A15" s="42" t="s">
        <v>10</v>
      </c>
      <c r="B15" s="141">
        <v>639</v>
      </c>
      <c r="C15" s="141">
        <v>406</v>
      </c>
      <c r="D15" s="141">
        <v>513</v>
      </c>
      <c r="E15" s="141">
        <v>513</v>
      </c>
      <c r="F15" s="141">
        <v>581</v>
      </c>
      <c r="G15" s="141">
        <v>608</v>
      </c>
      <c r="H15" s="142">
        <v>481</v>
      </c>
      <c r="I15" s="142">
        <v>395</v>
      </c>
      <c r="J15" s="142">
        <v>480</v>
      </c>
      <c r="K15" s="134">
        <v>559</v>
      </c>
      <c r="L15" s="138">
        <v>504</v>
      </c>
      <c r="M15" s="134">
        <v>615</v>
      </c>
      <c r="N15" s="134">
        <v>529</v>
      </c>
      <c r="O15" s="134">
        <v>481</v>
      </c>
      <c r="P15" s="134">
        <v>396</v>
      </c>
      <c r="Q15" s="302">
        <v>335</v>
      </c>
      <c r="R15" s="302">
        <v>549</v>
      </c>
      <c r="S15" s="294">
        <v>633</v>
      </c>
      <c r="T15" s="294">
        <v>531</v>
      </c>
      <c r="U15" s="294">
        <v>320</v>
      </c>
      <c r="V15" s="294">
        <v>577</v>
      </c>
      <c r="W15" s="294">
        <v>444</v>
      </c>
      <c r="X15" s="294">
        <v>756</v>
      </c>
      <c r="Y15" s="461">
        <f t="shared" si="0"/>
        <v>510.72222222222223</v>
      </c>
      <c r="Z15" s="1"/>
      <c r="AA15" s="42" t="s">
        <v>10</v>
      </c>
      <c r="AB15" s="294">
        <v>577</v>
      </c>
      <c r="AC15" s="294">
        <v>444</v>
      </c>
      <c r="AD15" s="294">
        <v>756</v>
      </c>
      <c r="AE15" s="303">
        <f t="shared" si="1"/>
        <v>592.33333333333337</v>
      </c>
      <c r="AF15" s="1"/>
      <c r="AG15" s="1"/>
      <c r="AH15" s="1"/>
    </row>
    <row r="16" spans="1:34" ht="15.75">
      <c r="A16" s="42" t="s">
        <v>11</v>
      </c>
      <c r="B16" s="356">
        <v>303</v>
      </c>
      <c r="C16" s="141">
        <v>110</v>
      </c>
      <c r="D16" s="141">
        <v>155</v>
      </c>
      <c r="E16" s="141">
        <v>155</v>
      </c>
      <c r="F16" s="141">
        <v>126</v>
      </c>
      <c r="G16" s="141">
        <v>200</v>
      </c>
      <c r="H16" s="142">
        <v>216</v>
      </c>
      <c r="I16" s="142">
        <v>58</v>
      </c>
      <c r="J16" s="142">
        <v>167</v>
      </c>
      <c r="K16" s="134">
        <v>180</v>
      </c>
      <c r="L16" s="138">
        <v>198</v>
      </c>
      <c r="M16" s="134">
        <v>357</v>
      </c>
      <c r="N16" s="134">
        <v>230</v>
      </c>
      <c r="O16" s="134">
        <v>274</v>
      </c>
      <c r="P16" s="134">
        <v>299</v>
      </c>
      <c r="Q16" s="294">
        <v>214</v>
      </c>
      <c r="R16" s="294">
        <v>124</v>
      </c>
      <c r="S16" s="294">
        <v>267</v>
      </c>
      <c r="T16" s="294">
        <v>190</v>
      </c>
      <c r="U16" s="294">
        <v>252</v>
      </c>
      <c r="V16" s="294">
        <v>264</v>
      </c>
      <c r="W16" s="294">
        <v>142</v>
      </c>
      <c r="X16" s="294">
        <v>260</v>
      </c>
      <c r="Y16" s="461">
        <f t="shared" si="0"/>
        <v>216.22222222222223</v>
      </c>
      <c r="Z16" s="1"/>
      <c r="AA16" s="42" t="s">
        <v>11</v>
      </c>
      <c r="AB16" s="294">
        <v>264</v>
      </c>
      <c r="AC16" s="294">
        <v>142</v>
      </c>
      <c r="AD16" s="294">
        <v>260</v>
      </c>
      <c r="AE16" s="303">
        <f t="shared" si="1"/>
        <v>222</v>
      </c>
      <c r="AF16" s="1"/>
      <c r="AG16" s="1"/>
      <c r="AH16" s="1"/>
    </row>
    <row r="17" spans="2:42">
      <c r="B17" s="142"/>
      <c r="C17" s="143"/>
      <c r="D17" s="143"/>
      <c r="E17" s="143"/>
      <c r="F17" s="143"/>
      <c r="G17" s="143"/>
      <c r="H17" s="143"/>
      <c r="I17" s="143"/>
      <c r="J17" s="143"/>
      <c r="K17" s="143"/>
      <c r="L17" s="143"/>
      <c r="M17" s="143"/>
      <c r="N17" s="143"/>
      <c r="O17" s="143"/>
      <c r="P17" s="143"/>
      <c r="Q17" s="143"/>
      <c r="R17" s="143"/>
      <c r="S17" s="143"/>
      <c r="T17" s="143"/>
      <c r="U17" s="143"/>
      <c r="V17" s="143"/>
      <c r="W17" s="143"/>
      <c r="X17" s="142"/>
      <c r="Y17" s="461">
        <f t="shared" si="0"/>
        <v>0</v>
      </c>
      <c r="Z17" s="2"/>
      <c r="AB17" s="294"/>
      <c r="AC17" s="294"/>
      <c r="AD17" s="294"/>
      <c r="AE17" s="303"/>
    </row>
    <row r="18" spans="2:42">
      <c r="B18" s="144">
        <f>SUM(B5:B16)</f>
        <v>7795</v>
      </c>
      <c r="C18" s="144">
        <f t="shared" ref="C18:I18" si="2">SUM(C5:C16)</f>
        <v>7915</v>
      </c>
      <c r="D18" s="144">
        <f t="shared" si="2"/>
        <v>7326</v>
      </c>
      <c r="E18" s="144">
        <f t="shared" si="2"/>
        <v>7217</v>
      </c>
      <c r="F18" s="144">
        <f t="shared" si="2"/>
        <v>6139</v>
      </c>
      <c r="G18" s="144">
        <f t="shared" si="2"/>
        <v>7923</v>
      </c>
      <c r="H18" s="144">
        <f t="shared" si="2"/>
        <v>7297</v>
      </c>
      <c r="I18" s="144">
        <f t="shared" si="2"/>
        <v>6589</v>
      </c>
      <c r="J18" s="144">
        <f t="shared" ref="J18:X18" si="3">SUM(J5:J16)</f>
        <v>6806</v>
      </c>
      <c r="K18" s="144">
        <f t="shared" si="3"/>
        <v>6669</v>
      </c>
      <c r="L18" s="144">
        <f t="shared" si="3"/>
        <v>7959</v>
      </c>
      <c r="M18" s="144">
        <f t="shared" si="3"/>
        <v>6681</v>
      </c>
      <c r="N18" s="144">
        <f t="shared" si="3"/>
        <v>7787</v>
      </c>
      <c r="O18" s="144">
        <f t="shared" si="3"/>
        <v>7433</v>
      </c>
      <c r="P18" s="144">
        <f t="shared" si="3"/>
        <v>7161</v>
      </c>
      <c r="Q18" s="144">
        <f t="shared" si="3"/>
        <v>6545</v>
      </c>
      <c r="R18" s="144">
        <f t="shared" si="3"/>
        <v>7082</v>
      </c>
      <c r="S18" s="144">
        <f t="shared" si="3"/>
        <v>7914</v>
      </c>
      <c r="T18" s="144">
        <f t="shared" si="3"/>
        <v>7743</v>
      </c>
      <c r="U18" s="144">
        <f t="shared" si="3"/>
        <v>7216</v>
      </c>
      <c r="V18" s="144">
        <f t="shared" si="3"/>
        <v>7870</v>
      </c>
      <c r="W18" s="144">
        <f t="shared" si="3"/>
        <v>6102</v>
      </c>
      <c r="X18" s="144">
        <f t="shared" si="3"/>
        <v>7562</v>
      </c>
      <c r="Y18" s="461">
        <f t="shared" si="0"/>
        <v>7241.0555555555557</v>
      </c>
      <c r="Z18" s="2"/>
      <c r="AB18" s="304">
        <f>SUM(AB5:AB16)</f>
        <v>7870</v>
      </c>
      <c r="AC18" s="304">
        <f>SUM(AC5:AC16)</f>
        <v>6302</v>
      </c>
      <c r="AD18" s="304">
        <f>SUM(AD5:AD16)</f>
        <v>7562</v>
      </c>
      <c r="AE18" s="303">
        <f t="shared" si="1"/>
        <v>7244.666666666667</v>
      </c>
    </row>
    <row r="19" spans="2:42" ht="13.5" thickBot="1"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43"/>
      <c r="U19" s="43"/>
      <c r="V19" s="43"/>
      <c r="W19" s="43"/>
      <c r="X19" s="43"/>
      <c r="Y19" s="462"/>
      <c r="Z19" s="43"/>
      <c r="AF19" s="274"/>
      <c r="AG19" s="274"/>
      <c r="AH19" s="274"/>
      <c r="AI19" s="274"/>
      <c r="AJ19" s="274"/>
      <c r="AK19" s="274"/>
      <c r="AL19" s="274"/>
      <c r="AM19" s="274"/>
      <c r="AN19" s="274"/>
      <c r="AO19" s="274"/>
      <c r="AP19" s="274"/>
    </row>
    <row r="20" spans="2:42">
      <c r="AF20" s="274"/>
      <c r="AG20" s="274"/>
      <c r="AH20" s="274"/>
      <c r="AI20" s="274"/>
      <c r="AJ20" s="274"/>
      <c r="AK20" s="274"/>
      <c r="AL20" s="274"/>
      <c r="AM20" s="274"/>
      <c r="AN20" s="274"/>
      <c r="AO20" s="274"/>
      <c r="AP20" s="274"/>
    </row>
    <row r="21" spans="2:42">
      <c r="AF21" s="274"/>
      <c r="AG21" s="274"/>
      <c r="AH21" s="274"/>
      <c r="AI21" s="274"/>
      <c r="AJ21" s="274"/>
      <c r="AK21" s="274"/>
      <c r="AL21" s="274"/>
      <c r="AM21" s="274"/>
      <c r="AN21" s="274"/>
      <c r="AO21" s="274"/>
      <c r="AP21" s="274"/>
    </row>
    <row r="22" spans="2:42">
      <c r="AF22" s="274"/>
      <c r="AG22" s="274"/>
      <c r="AH22" s="274"/>
      <c r="AI22" s="274"/>
      <c r="AJ22" s="274"/>
      <c r="AK22" s="274"/>
      <c r="AL22" s="274"/>
      <c r="AM22" s="274"/>
      <c r="AN22" s="274"/>
      <c r="AO22" s="274"/>
      <c r="AP22" s="274"/>
    </row>
    <row r="23" spans="2:42">
      <c r="AF23" s="274"/>
      <c r="AG23" s="274"/>
      <c r="AH23" s="274"/>
      <c r="AI23" s="274"/>
      <c r="AJ23" s="274"/>
      <c r="AK23" s="274"/>
      <c r="AL23" s="274"/>
      <c r="AM23" s="274"/>
      <c r="AN23" s="274"/>
      <c r="AO23" s="274"/>
      <c r="AP23" s="274"/>
    </row>
    <row r="24" spans="2:42" ht="15.75"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463"/>
      <c r="Z24" s="1"/>
      <c r="AA24" s="1"/>
      <c r="AF24" s="274"/>
      <c r="AG24" s="274"/>
      <c r="AH24" s="274"/>
      <c r="AI24" s="274"/>
      <c r="AJ24" s="274"/>
      <c r="AK24" s="274"/>
      <c r="AL24" s="274"/>
      <c r="AM24" s="274"/>
      <c r="AN24" s="274"/>
      <c r="AO24" s="274"/>
      <c r="AP24" s="274"/>
    </row>
    <row r="25" spans="2:42">
      <c r="AF25" s="274"/>
      <c r="AG25" s="274"/>
      <c r="AH25" s="274"/>
      <c r="AI25" s="274"/>
      <c r="AJ25" s="274"/>
      <c r="AK25" s="274"/>
      <c r="AL25" s="274"/>
      <c r="AM25" s="274"/>
      <c r="AN25" s="274"/>
      <c r="AO25" s="274"/>
      <c r="AP25" s="274"/>
    </row>
    <row r="26" spans="2:42">
      <c r="Y26" s="464"/>
      <c r="Z26" s="274"/>
      <c r="AA26" s="274"/>
      <c r="AF26" s="274"/>
      <c r="AG26" s="274"/>
      <c r="AH26" s="274"/>
      <c r="AI26" s="274"/>
      <c r="AJ26" s="274"/>
      <c r="AK26" s="274"/>
      <c r="AL26" s="274"/>
      <c r="AM26" s="274"/>
      <c r="AN26" s="274"/>
      <c r="AO26" s="274"/>
      <c r="AP26" s="274"/>
    </row>
    <row r="27" spans="2:42">
      <c r="AF27" s="274"/>
      <c r="AG27" s="274"/>
      <c r="AH27" s="274"/>
      <c r="AI27" s="274"/>
      <c r="AJ27" s="274"/>
      <c r="AK27" s="274"/>
      <c r="AL27" s="274"/>
      <c r="AM27" s="274"/>
      <c r="AN27" s="274"/>
      <c r="AO27" s="274"/>
      <c r="AP27" s="274"/>
    </row>
    <row r="28" spans="2:42">
      <c r="AF28" s="274"/>
      <c r="AG28" s="274"/>
      <c r="AH28" s="274"/>
      <c r="AI28" s="274"/>
      <c r="AJ28" s="274"/>
      <c r="AK28" s="274"/>
      <c r="AL28" s="274"/>
      <c r="AM28" s="274"/>
      <c r="AN28" s="274"/>
      <c r="AO28" s="274"/>
      <c r="AP28" s="274"/>
    </row>
    <row r="29" spans="2:42">
      <c r="AF29" s="291"/>
      <c r="AG29" s="291"/>
      <c r="AH29" s="291"/>
      <c r="AI29" s="291"/>
      <c r="AJ29" s="291"/>
      <c r="AK29" s="291"/>
      <c r="AL29" s="291"/>
      <c r="AM29" s="291"/>
      <c r="AN29" s="291"/>
      <c r="AO29" s="291"/>
      <c r="AP29" s="291"/>
    </row>
    <row r="30" spans="2:42">
      <c r="AF30" s="274"/>
      <c r="AG30" s="274"/>
      <c r="AH30" s="274"/>
      <c r="AI30" s="274"/>
      <c r="AJ30" s="274"/>
      <c r="AK30" s="274"/>
      <c r="AL30" s="274"/>
      <c r="AM30" s="274"/>
      <c r="AN30" s="274"/>
      <c r="AO30" s="274"/>
      <c r="AP30" s="274"/>
    </row>
  </sheetData>
  <phoneticPr fontId="0" type="noConversion"/>
  <printOptions horizontalCentered="1" verticalCentered="1" gridLines="1" gridLinesSet="0"/>
  <pageMargins left="0.25" right="0.25" top="0.75" bottom="0.75" header="0.3" footer="0.3"/>
  <pageSetup scale="61" fitToHeight="0" orientation="landscape" verticalDpi="300" r:id="rId1"/>
  <headerFooter alignWithMargins="0">
    <oddHeader>&amp;A</oddHeader>
    <oddFooter>Page &amp;P</oddFooter>
  </headerFooter>
  <colBreaks count="1" manualBreakCount="1">
    <brk id="24" max="1048575" man="1"/>
  </colBreaks>
</worksheet>
</file>

<file path=xl/worksheets/sheet11.xml><?xml version="1.0" encoding="utf-8"?>
<worksheet xmlns="http://schemas.openxmlformats.org/spreadsheetml/2006/main" xmlns:r="http://schemas.openxmlformats.org/officeDocument/2006/relationships">
  <sheetPr codeName="Sheet15">
    <pageSetUpPr fitToPage="1"/>
  </sheetPr>
  <dimension ref="A1:AA22"/>
  <sheetViews>
    <sheetView view="pageBreakPreview" zoomScale="90" zoomScaleNormal="10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Z3" sqref="Z3"/>
    </sheetView>
  </sheetViews>
  <sheetFormatPr defaultRowHeight="12.75"/>
  <cols>
    <col min="2" max="2" width="7" customWidth="1"/>
    <col min="9" max="9" width="7" customWidth="1"/>
    <col min="10" max="10" width="6" customWidth="1"/>
    <col min="11" max="12" width="10.28515625" customWidth="1"/>
    <col min="13" max="13" width="10" customWidth="1"/>
    <col min="14" max="14" width="10.28515625" customWidth="1"/>
    <col min="15" max="15" width="10.7109375" customWidth="1"/>
    <col min="16" max="16" width="10" customWidth="1"/>
    <col min="17" max="17" width="10.42578125" customWidth="1"/>
    <col min="18" max="26" width="10.7109375" customWidth="1"/>
  </cols>
  <sheetData>
    <row r="1" spans="1:27">
      <c r="A1" s="90" t="s">
        <v>84</v>
      </c>
      <c r="B1" s="50"/>
      <c r="C1" s="51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  <c r="Y1" s="50"/>
      <c r="Z1" s="50"/>
      <c r="AA1" s="50"/>
    </row>
    <row r="2" spans="1:27">
      <c r="A2" s="50" t="s">
        <v>85</v>
      </c>
      <c r="C2" s="51"/>
      <c r="D2" s="51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</row>
    <row r="3" spans="1:27">
      <c r="B3" s="412"/>
      <c r="C3" s="52" t="s">
        <v>86</v>
      </c>
      <c r="D3" s="54" t="s">
        <v>75</v>
      </c>
      <c r="E3" s="52" t="s">
        <v>76</v>
      </c>
      <c r="F3" s="52" t="s">
        <v>77</v>
      </c>
      <c r="G3" s="52" t="s">
        <v>78</v>
      </c>
      <c r="H3" s="51" t="s">
        <v>87</v>
      </c>
      <c r="I3" s="51" t="s">
        <v>88</v>
      </c>
      <c r="J3" s="51" t="s">
        <v>89</v>
      </c>
      <c r="K3" s="51" t="s">
        <v>147</v>
      </c>
      <c r="L3" s="51" t="s">
        <v>148</v>
      </c>
      <c r="M3" s="51" t="s">
        <v>149</v>
      </c>
      <c r="N3" s="86" t="s">
        <v>169</v>
      </c>
      <c r="O3" s="86" t="s">
        <v>170</v>
      </c>
      <c r="P3" s="153" t="s">
        <v>210</v>
      </c>
      <c r="Q3" s="153" t="s">
        <v>283</v>
      </c>
      <c r="R3" s="153" t="s">
        <v>302</v>
      </c>
      <c r="S3" s="153" t="s">
        <v>303</v>
      </c>
      <c r="T3" s="153" t="s">
        <v>325</v>
      </c>
      <c r="U3" s="153" t="s">
        <v>370</v>
      </c>
      <c r="V3" s="153" t="s">
        <v>382</v>
      </c>
      <c r="W3" s="153" t="s">
        <v>427</v>
      </c>
      <c r="X3" s="305" t="s">
        <v>454</v>
      </c>
      <c r="Y3" s="438" t="s">
        <v>498</v>
      </c>
      <c r="Z3" s="438" t="s">
        <v>524</v>
      </c>
      <c r="AA3" s="53" t="s">
        <v>284</v>
      </c>
    </row>
    <row r="4" spans="1:27">
      <c r="B4" s="41" t="s">
        <v>0</v>
      </c>
      <c r="C4" s="145">
        <v>101</v>
      </c>
      <c r="D4" s="145">
        <v>285</v>
      </c>
      <c r="E4" s="145">
        <v>116</v>
      </c>
      <c r="F4" s="145">
        <v>182</v>
      </c>
      <c r="G4" s="145">
        <v>111</v>
      </c>
      <c r="H4" s="145">
        <v>287</v>
      </c>
      <c r="I4" s="145">
        <v>306</v>
      </c>
      <c r="J4" s="145">
        <v>233</v>
      </c>
      <c r="K4" s="145">
        <v>192</v>
      </c>
      <c r="L4" s="134">
        <v>113</v>
      </c>
      <c r="M4" s="134">
        <v>135</v>
      </c>
      <c r="N4" s="134">
        <v>106</v>
      </c>
      <c r="O4" s="134">
        <v>175</v>
      </c>
      <c r="P4" s="134">
        <v>199</v>
      </c>
      <c r="Q4" s="134">
        <v>123</v>
      </c>
      <c r="R4" s="134">
        <v>86</v>
      </c>
      <c r="S4" s="134">
        <v>225</v>
      </c>
      <c r="T4" s="134">
        <v>175</v>
      </c>
      <c r="U4" s="134">
        <v>214</v>
      </c>
      <c r="V4" s="134">
        <v>118</v>
      </c>
      <c r="W4" s="134">
        <v>140</v>
      </c>
      <c r="X4" s="303">
        <v>152</v>
      </c>
      <c r="Y4" s="303">
        <v>178</v>
      </c>
      <c r="Z4" s="303">
        <v>277</v>
      </c>
      <c r="AA4" s="145">
        <f>SUM(X4:Z4)/3</f>
        <v>202.33333333333334</v>
      </c>
    </row>
    <row r="5" spans="1:27">
      <c r="B5" s="41" t="s">
        <v>1</v>
      </c>
      <c r="C5" s="145">
        <v>291</v>
      </c>
      <c r="D5" s="145">
        <v>343</v>
      </c>
      <c r="E5" s="145">
        <v>108</v>
      </c>
      <c r="F5" s="145">
        <v>166</v>
      </c>
      <c r="G5" s="145">
        <v>259</v>
      </c>
      <c r="H5" s="145">
        <v>266</v>
      </c>
      <c r="I5" s="145">
        <v>328</v>
      </c>
      <c r="J5" s="145">
        <v>269</v>
      </c>
      <c r="K5" s="145">
        <v>215</v>
      </c>
      <c r="L5" s="134">
        <v>259</v>
      </c>
      <c r="M5" s="134">
        <v>348</v>
      </c>
      <c r="N5" s="134">
        <v>243</v>
      </c>
      <c r="O5" s="134">
        <v>309</v>
      </c>
      <c r="P5" s="134">
        <v>348</v>
      </c>
      <c r="Q5" s="134">
        <v>251</v>
      </c>
      <c r="R5" s="134">
        <v>200</v>
      </c>
      <c r="S5" s="134">
        <v>327</v>
      </c>
      <c r="T5" s="134">
        <v>415</v>
      </c>
      <c r="U5" s="134">
        <v>316</v>
      </c>
      <c r="V5" s="134">
        <v>297</v>
      </c>
      <c r="W5" s="134">
        <v>199</v>
      </c>
      <c r="X5" s="303">
        <v>310</v>
      </c>
      <c r="Y5" s="303">
        <v>395</v>
      </c>
      <c r="Z5" s="303">
        <v>438</v>
      </c>
      <c r="AA5" s="145">
        <f t="shared" ref="AA5:AA17" si="0">SUM(X5:Z5)/3</f>
        <v>381</v>
      </c>
    </row>
    <row r="6" spans="1:27">
      <c r="B6" s="41" t="s">
        <v>2</v>
      </c>
      <c r="C6" s="145">
        <v>130</v>
      </c>
      <c r="D6" s="145">
        <v>308</v>
      </c>
      <c r="E6" s="145">
        <v>84</v>
      </c>
      <c r="F6" s="145">
        <v>138</v>
      </c>
      <c r="G6" s="145">
        <v>251</v>
      </c>
      <c r="H6" s="145">
        <v>176</v>
      </c>
      <c r="I6" s="145">
        <v>289</v>
      </c>
      <c r="J6" s="145">
        <v>334</v>
      </c>
      <c r="K6" s="145">
        <v>131</v>
      </c>
      <c r="L6" s="134">
        <v>210</v>
      </c>
      <c r="M6" s="134">
        <v>160</v>
      </c>
      <c r="N6" s="134">
        <v>160</v>
      </c>
      <c r="O6" s="134">
        <v>267</v>
      </c>
      <c r="P6" s="134">
        <v>172</v>
      </c>
      <c r="Q6" s="134">
        <v>287</v>
      </c>
      <c r="R6" s="134">
        <v>77</v>
      </c>
      <c r="S6" s="134">
        <v>185</v>
      </c>
      <c r="T6" s="134">
        <v>197</v>
      </c>
      <c r="U6" s="134">
        <v>209</v>
      </c>
      <c r="V6" s="134">
        <v>215</v>
      </c>
      <c r="W6" s="134">
        <v>174</v>
      </c>
      <c r="X6" s="303">
        <v>338</v>
      </c>
      <c r="Y6" s="303">
        <v>266</v>
      </c>
      <c r="Z6" s="303">
        <v>271</v>
      </c>
      <c r="AA6" s="145">
        <f t="shared" si="0"/>
        <v>291.66666666666669</v>
      </c>
    </row>
    <row r="7" spans="1:27">
      <c r="B7" s="41" t="s">
        <v>3</v>
      </c>
      <c r="C7" s="145">
        <v>12</v>
      </c>
      <c r="D7" s="145">
        <v>166</v>
      </c>
      <c r="E7" s="145">
        <v>7</v>
      </c>
      <c r="F7" s="145">
        <v>32</v>
      </c>
      <c r="G7" s="145">
        <v>9</v>
      </c>
      <c r="H7" s="145">
        <v>101</v>
      </c>
      <c r="I7" s="145">
        <v>72</v>
      </c>
      <c r="J7" s="145">
        <v>104</v>
      </c>
      <c r="K7" s="145">
        <v>34</v>
      </c>
      <c r="L7" s="134">
        <v>125</v>
      </c>
      <c r="M7" s="134">
        <v>54</v>
      </c>
      <c r="N7" s="134">
        <v>49</v>
      </c>
      <c r="O7" s="134">
        <v>44</v>
      </c>
      <c r="P7" s="134">
        <v>115</v>
      </c>
      <c r="Q7" s="134">
        <v>92</v>
      </c>
      <c r="R7" s="134">
        <v>110</v>
      </c>
      <c r="S7" s="134">
        <v>89</v>
      </c>
      <c r="T7" s="134">
        <v>32</v>
      </c>
      <c r="U7" s="134">
        <v>107</v>
      </c>
      <c r="V7" s="134">
        <v>56</v>
      </c>
      <c r="W7" s="134">
        <v>153</v>
      </c>
      <c r="X7" s="303">
        <v>41</v>
      </c>
      <c r="Y7" s="303">
        <v>101</v>
      </c>
      <c r="Z7" s="303">
        <v>148</v>
      </c>
      <c r="AA7" s="145">
        <f t="shared" si="0"/>
        <v>96.666666666666671</v>
      </c>
    </row>
    <row r="8" spans="1:27">
      <c r="B8" s="41" t="s">
        <v>4</v>
      </c>
      <c r="C8" s="145">
        <v>2</v>
      </c>
      <c r="D8" s="145">
        <v>0</v>
      </c>
      <c r="E8" s="145">
        <v>0</v>
      </c>
      <c r="F8" s="145">
        <v>6</v>
      </c>
      <c r="G8" s="145">
        <v>1</v>
      </c>
      <c r="H8" s="145">
        <v>0</v>
      </c>
      <c r="I8" s="145">
        <v>8</v>
      </c>
      <c r="J8" s="145">
        <v>0</v>
      </c>
      <c r="K8" s="145">
        <v>27</v>
      </c>
      <c r="L8" s="134">
        <v>0</v>
      </c>
      <c r="M8" s="134">
        <v>0</v>
      </c>
      <c r="N8" s="134">
        <v>5</v>
      </c>
      <c r="O8" s="134">
        <v>1</v>
      </c>
      <c r="P8" s="134">
        <v>0</v>
      </c>
      <c r="Q8" s="134">
        <v>11</v>
      </c>
      <c r="R8" s="134">
        <v>1</v>
      </c>
      <c r="S8" s="134">
        <v>23</v>
      </c>
      <c r="T8" s="134">
        <v>8</v>
      </c>
      <c r="U8" s="134">
        <v>30</v>
      </c>
      <c r="V8" s="134">
        <v>4</v>
      </c>
      <c r="W8" s="134">
        <v>0</v>
      </c>
      <c r="X8" s="303">
        <v>38</v>
      </c>
      <c r="Y8" s="303">
        <v>69</v>
      </c>
      <c r="Z8" s="303">
        <v>8</v>
      </c>
      <c r="AA8" s="145">
        <f t="shared" si="0"/>
        <v>38.333333333333336</v>
      </c>
    </row>
    <row r="9" spans="1:27">
      <c r="B9" s="41" t="s">
        <v>5</v>
      </c>
      <c r="C9" s="145">
        <v>0</v>
      </c>
      <c r="D9" s="145">
        <v>1</v>
      </c>
      <c r="E9" s="145">
        <v>0</v>
      </c>
      <c r="F9" s="145">
        <v>0</v>
      </c>
      <c r="G9" s="145">
        <v>0</v>
      </c>
      <c r="H9" s="145">
        <v>0</v>
      </c>
      <c r="I9" s="145">
        <v>0</v>
      </c>
      <c r="J9" s="145">
        <v>0</v>
      </c>
      <c r="K9" s="145">
        <v>0</v>
      </c>
      <c r="L9" s="134">
        <v>0</v>
      </c>
      <c r="M9" s="134">
        <v>0</v>
      </c>
      <c r="N9" s="134">
        <v>0</v>
      </c>
      <c r="O9" s="134">
        <v>0</v>
      </c>
      <c r="P9" s="134">
        <v>0</v>
      </c>
      <c r="Q9" s="134">
        <v>0</v>
      </c>
      <c r="R9" s="134">
        <v>0</v>
      </c>
      <c r="S9" s="134">
        <v>0</v>
      </c>
      <c r="T9" s="134">
        <v>0</v>
      </c>
      <c r="U9" s="134">
        <v>0</v>
      </c>
      <c r="V9" s="134">
        <v>0</v>
      </c>
      <c r="W9" s="134">
        <v>0</v>
      </c>
      <c r="X9" s="303">
        <v>1</v>
      </c>
      <c r="Y9" s="303">
        <v>0</v>
      </c>
      <c r="Z9" s="303">
        <v>0</v>
      </c>
      <c r="AA9" s="145">
        <f t="shared" si="0"/>
        <v>0.33333333333333331</v>
      </c>
    </row>
    <row r="10" spans="1:27">
      <c r="B10" s="41" t="s">
        <v>6</v>
      </c>
      <c r="C10" s="145">
        <v>0</v>
      </c>
      <c r="D10" s="145">
        <v>0</v>
      </c>
      <c r="E10" s="145">
        <v>0</v>
      </c>
      <c r="F10" s="145">
        <v>0</v>
      </c>
      <c r="G10" s="145">
        <v>0</v>
      </c>
      <c r="H10" s="145">
        <v>0</v>
      </c>
      <c r="I10" s="145">
        <v>0</v>
      </c>
      <c r="J10" s="145">
        <v>0</v>
      </c>
      <c r="K10" s="145">
        <v>0</v>
      </c>
      <c r="L10" s="134">
        <v>0</v>
      </c>
      <c r="M10" s="134">
        <v>0</v>
      </c>
      <c r="N10" s="134">
        <v>0</v>
      </c>
      <c r="O10" s="134">
        <v>0</v>
      </c>
      <c r="P10" s="134">
        <v>0</v>
      </c>
      <c r="Q10" s="134">
        <v>0</v>
      </c>
      <c r="R10" s="134">
        <v>0</v>
      </c>
      <c r="S10" s="134">
        <v>0</v>
      </c>
      <c r="T10" s="134">
        <v>0</v>
      </c>
      <c r="U10" s="134">
        <v>0</v>
      </c>
      <c r="V10" s="134">
        <v>0</v>
      </c>
      <c r="W10" s="134">
        <v>0</v>
      </c>
      <c r="X10" s="303">
        <v>0</v>
      </c>
      <c r="Y10" s="303">
        <v>0</v>
      </c>
      <c r="Z10" s="303">
        <v>0</v>
      </c>
      <c r="AA10" s="145">
        <f t="shared" si="0"/>
        <v>0</v>
      </c>
    </row>
    <row r="11" spans="1:27">
      <c r="B11" s="41" t="s">
        <v>7</v>
      </c>
      <c r="C11" s="145">
        <v>0</v>
      </c>
      <c r="D11" s="145">
        <v>0</v>
      </c>
      <c r="E11" s="145">
        <v>0</v>
      </c>
      <c r="F11" s="145">
        <v>0</v>
      </c>
      <c r="G11" s="145">
        <v>0</v>
      </c>
      <c r="H11" s="145">
        <v>0</v>
      </c>
      <c r="I11" s="145">
        <v>0</v>
      </c>
      <c r="J11" s="145">
        <v>0</v>
      </c>
      <c r="K11" s="145">
        <v>0</v>
      </c>
      <c r="L11" s="134">
        <v>0</v>
      </c>
      <c r="M11" s="134">
        <v>0</v>
      </c>
      <c r="N11" s="134">
        <v>0</v>
      </c>
      <c r="O11" s="134">
        <v>0</v>
      </c>
      <c r="P11" s="134">
        <v>0</v>
      </c>
      <c r="Q11" s="134">
        <v>0</v>
      </c>
      <c r="R11" s="134">
        <v>0</v>
      </c>
      <c r="S11" s="134">
        <v>0</v>
      </c>
      <c r="T11" s="134">
        <v>0</v>
      </c>
      <c r="U11" s="134">
        <v>0</v>
      </c>
      <c r="V11" s="134">
        <v>0</v>
      </c>
      <c r="W11" s="134">
        <v>0</v>
      </c>
      <c r="X11" s="303">
        <v>0</v>
      </c>
      <c r="Y11" s="303">
        <v>0</v>
      </c>
      <c r="Z11" s="303">
        <v>0</v>
      </c>
      <c r="AA11" s="145">
        <f t="shared" si="0"/>
        <v>0</v>
      </c>
    </row>
    <row r="12" spans="1:27">
      <c r="B12" s="41" t="s">
        <v>8</v>
      </c>
      <c r="C12" s="145">
        <v>0</v>
      </c>
      <c r="D12" s="145">
        <v>0</v>
      </c>
      <c r="E12" s="145">
        <v>0</v>
      </c>
      <c r="F12" s="145">
        <v>0</v>
      </c>
      <c r="G12" s="145">
        <v>0</v>
      </c>
      <c r="H12" s="145">
        <v>0</v>
      </c>
      <c r="I12" s="145">
        <v>0</v>
      </c>
      <c r="J12" s="145">
        <v>0</v>
      </c>
      <c r="K12" s="145">
        <v>0</v>
      </c>
      <c r="L12" s="134">
        <v>0</v>
      </c>
      <c r="M12" s="134">
        <v>0</v>
      </c>
      <c r="N12" s="134">
        <v>0</v>
      </c>
      <c r="O12" s="134">
        <v>0</v>
      </c>
      <c r="P12" s="134">
        <v>0</v>
      </c>
      <c r="Q12" s="134">
        <v>0</v>
      </c>
      <c r="R12" s="134">
        <v>0</v>
      </c>
      <c r="S12" s="134">
        <v>0</v>
      </c>
      <c r="T12" s="134">
        <v>0</v>
      </c>
      <c r="U12" s="134">
        <v>0</v>
      </c>
      <c r="V12" s="134">
        <v>0</v>
      </c>
      <c r="W12" s="134">
        <v>0</v>
      </c>
      <c r="X12" s="303">
        <v>0</v>
      </c>
      <c r="Y12" s="303">
        <v>0</v>
      </c>
      <c r="Z12" s="303">
        <v>0</v>
      </c>
      <c r="AA12" s="145">
        <f t="shared" si="0"/>
        <v>0</v>
      </c>
    </row>
    <row r="13" spans="1:27">
      <c r="B13" s="41" t="s">
        <v>9</v>
      </c>
      <c r="C13" s="145">
        <v>0</v>
      </c>
      <c r="D13" s="145">
        <v>0</v>
      </c>
      <c r="E13" s="145">
        <v>0</v>
      </c>
      <c r="F13" s="145">
        <v>0</v>
      </c>
      <c r="G13" s="145">
        <v>0</v>
      </c>
      <c r="H13" s="145">
        <v>0</v>
      </c>
      <c r="I13" s="145">
        <v>0</v>
      </c>
      <c r="J13" s="145">
        <v>0</v>
      </c>
      <c r="K13" s="145">
        <v>0</v>
      </c>
      <c r="L13" s="134">
        <v>0</v>
      </c>
      <c r="M13" s="134">
        <v>0</v>
      </c>
      <c r="N13" s="134">
        <v>0</v>
      </c>
      <c r="O13" s="134">
        <v>0</v>
      </c>
      <c r="P13" s="134">
        <v>0</v>
      </c>
      <c r="Q13" s="134">
        <v>0</v>
      </c>
      <c r="R13" s="134">
        <v>0</v>
      </c>
      <c r="S13" s="134">
        <v>0</v>
      </c>
      <c r="T13" s="134">
        <v>0</v>
      </c>
      <c r="U13" s="134">
        <v>0</v>
      </c>
      <c r="V13" s="134">
        <v>0</v>
      </c>
      <c r="W13" s="134">
        <v>6</v>
      </c>
      <c r="X13" s="303">
        <v>0</v>
      </c>
      <c r="Y13" s="303">
        <v>32</v>
      </c>
      <c r="Z13" s="303">
        <v>0</v>
      </c>
      <c r="AA13" s="145">
        <f t="shared" si="0"/>
        <v>10.666666666666666</v>
      </c>
    </row>
    <row r="14" spans="1:27">
      <c r="B14" s="41" t="s">
        <v>10</v>
      </c>
      <c r="C14" s="145">
        <v>3</v>
      </c>
      <c r="D14" s="145">
        <v>0</v>
      </c>
      <c r="E14" s="145">
        <v>16</v>
      </c>
      <c r="F14" s="145">
        <v>0</v>
      </c>
      <c r="G14" s="145">
        <v>7</v>
      </c>
      <c r="H14" s="145">
        <v>0</v>
      </c>
      <c r="I14" s="145">
        <v>0</v>
      </c>
      <c r="J14" s="145">
        <v>0</v>
      </c>
      <c r="K14" s="145">
        <v>1</v>
      </c>
      <c r="L14" s="134">
        <v>0</v>
      </c>
      <c r="M14" s="134">
        <v>0</v>
      </c>
      <c r="N14" s="134">
        <v>8</v>
      </c>
      <c r="O14" s="134">
        <v>20</v>
      </c>
      <c r="P14" s="134">
        <v>11</v>
      </c>
      <c r="Q14" s="134">
        <v>8</v>
      </c>
      <c r="R14" s="134">
        <v>5</v>
      </c>
      <c r="S14" s="134">
        <v>1</v>
      </c>
      <c r="T14" s="134">
        <v>11</v>
      </c>
      <c r="U14" s="134">
        <v>0</v>
      </c>
      <c r="V14" s="134">
        <v>0</v>
      </c>
      <c r="W14" s="134">
        <v>26</v>
      </c>
      <c r="X14" s="303">
        <v>5</v>
      </c>
      <c r="Y14" s="303">
        <v>15</v>
      </c>
      <c r="Z14" s="303">
        <v>13</v>
      </c>
      <c r="AA14" s="145">
        <f t="shared" si="0"/>
        <v>11</v>
      </c>
    </row>
    <row r="15" spans="1:27">
      <c r="B15" s="41" t="s">
        <v>11</v>
      </c>
      <c r="C15" s="145">
        <v>17</v>
      </c>
      <c r="D15" s="145">
        <v>18</v>
      </c>
      <c r="E15" s="145">
        <v>110</v>
      </c>
      <c r="F15" s="145">
        <v>25</v>
      </c>
      <c r="G15" s="145">
        <v>7</v>
      </c>
      <c r="H15" s="145">
        <v>29</v>
      </c>
      <c r="I15" s="145">
        <v>35</v>
      </c>
      <c r="J15" s="145">
        <v>21</v>
      </c>
      <c r="K15" s="145">
        <v>90</v>
      </c>
      <c r="L15" s="134">
        <v>43</v>
      </c>
      <c r="M15" s="134">
        <v>43</v>
      </c>
      <c r="N15" s="134">
        <v>41</v>
      </c>
      <c r="O15" s="134">
        <v>35</v>
      </c>
      <c r="P15" s="134">
        <v>14</v>
      </c>
      <c r="Q15" s="134">
        <v>0</v>
      </c>
      <c r="R15" s="134">
        <v>6</v>
      </c>
      <c r="S15" s="134">
        <v>82</v>
      </c>
      <c r="T15" s="134">
        <v>71</v>
      </c>
      <c r="U15" s="134">
        <v>4</v>
      </c>
      <c r="V15" s="134">
        <v>26</v>
      </c>
      <c r="W15" s="134">
        <v>130</v>
      </c>
      <c r="X15" s="303">
        <v>50</v>
      </c>
      <c r="Y15" s="303">
        <v>121</v>
      </c>
      <c r="Z15" s="303">
        <v>87</v>
      </c>
      <c r="AA15" s="145">
        <f t="shared" si="0"/>
        <v>86</v>
      </c>
    </row>
    <row r="16" spans="1:27">
      <c r="C16" s="132"/>
      <c r="D16" s="132"/>
      <c r="E16" s="132"/>
      <c r="F16" s="132"/>
      <c r="G16" s="132"/>
      <c r="H16" s="132"/>
      <c r="I16" s="132"/>
      <c r="J16" s="132"/>
      <c r="K16" s="132"/>
      <c r="L16" s="132"/>
      <c r="M16" s="132"/>
      <c r="N16" s="132"/>
      <c r="O16" s="132"/>
      <c r="P16" s="132"/>
      <c r="Q16" s="132"/>
      <c r="R16" s="132"/>
      <c r="S16" s="132"/>
      <c r="T16" s="134"/>
      <c r="U16" s="134"/>
      <c r="V16" s="134"/>
      <c r="W16" s="134"/>
      <c r="X16" s="132"/>
      <c r="Y16" s="132"/>
      <c r="Z16" s="132"/>
      <c r="AA16" s="145">
        <f t="shared" si="0"/>
        <v>0</v>
      </c>
    </row>
    <row r="17" spans="2:27">
      <c r="B17" s="41" t="s">
        <v>30</v>
      </c>
      <c r="C17" s="145">
        <f t="shared" ref="C17:M17" si="1">SUM(C4:C15)</f>
        <v>556</v>
      </c>
      <c r="D17" s="145">
        <f t="shared" si="1"/>
        <v>1121</v>
      </c>
      <c r="E17" s="145">
        <f t="shared" si="1"/>
        <v>441</v>
      </c>
      <c r="F17" s="145">
        <f t="shared" si="1"/>
        <v>549</v>
      </c>
      <c r="G17" s="145">
        <f t="shared" si="1"/>
        <v>645</v>
      </c>
      <c r="H17" s="145">
        <f t="shared" si="1"/>
        <v>859</v>
      </c>
      <c r="I17" s="145">
        <f t="shared" si="1"/>
        <v>1038</v>
      </c>
      <c r="J17" s="145">
        <f t="shared" si="1"/>
        <v>961</v>
      </c>
      <c r="K17" s="145">
        <f t="shared" si="1"/>
        <v>690</v>
      </c>
      <c r="L17" s="145">
        <f t="shared" si="1"/>
        <v>750</v>
      </c>
      <c r="M17" s="145">
        <f t="shared" si="1"/>
        <v>740</v>
      </c>
      <c r="N17" s="145">
        <f t="shared" ref="N17:V17" si="2">SUM(N4:N15)</f>
        <v>612</v>
      </c>
      <c r="O17" s="145">
        <f t="shared" si="2"/>
        <v>851</v>
      </c>
      <c r="P17" s="145">
        <f t="shared" si="2"/>
        <v>859</v>
      </c>
      <c r="Q17" s="145">
        <f t="shared" si="2"/>
        <v>772</v>
      </c>
      <c r="R17" s="145">
        <f t="shared" si="2"/>
        <v>485</v>
      </c>
      <c r="S17" s="145">
        <f t="shared" si="2"/>
        <v>932</v>
      </c>
      <c r="T17" s="134">
        <f t="shared" si="2"/>
        <v>909</v>
      </c>
      <c r="U17" s="134">
        <f t="shared" si="2"/>
        <v>880</v>
      </c>
      <c r="V17" s="134">
        <f t="shared" si="2"/>
        <v>716</v>
      </c>
      <c r="W17" s="134">
        <f>SUM(W4:W16)</f>
        <v>828</v>
      </c>
      <c r="X17" s="303">
        <f>SUM(X4:X16)</f>
        <v>935</v>
      </c>
      <c r="Y17" s="303">
        <f>SUM(Y4:Y16)</f>
        <v>1177</v>
      </c>
      <c r="Z17" s="303">
        <f>SUM(Z4:Z16)</f>
        <v>1242</v>
      </c>
      <c r="AA17" s="145">
        <f t="shared" si="0"/>
        <v>1118</v>
      </c>
    </row>
    <row r="22" spans="2:27">
      <c r="V22" s="274"/>
      <c r="W22" s="274"/>
      <c r="X22" s="274"/>
    </row>
  </sheetData>
  <phoneticPr fontId="0" type="noConversion"/>
  <printOptions horizontalCentered="1" verticalCentered="1" gridLines="1" gridLinesSet="0"/>
  <pageMargins left="0" right="0" top="1" bottom="0.75" header="0.3" footer="0.3"/>
  <pageSetup scale="53" fitToHeight="0" orientation="landscape" verticalDpi="300" r:id="rId1"/>
  <headerFooter alignWithMargins="0">
    <oddHeader>&amp;A</oddHeader>
    <oddFooter>Page 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sheetPr codeName="Sheet17"/>
  <dimension ref="A1:M61"/>
  <sheetViews>
    <sheetView view="pageBreakPreview" zoomScaleNormal="100" workbookViewId="0">
      <pane ySplit="4" topLeftCell="A26" activePane="bottomLeft" state="frozen"/>
      <selection pane="bottomLeft" activeCell="H51" sqref="H51"/>
    </sheetView>
  </sheetViews>
  <sheetFormatPr defaultRowHeight="12.75"/>
  <cols>
    <col min="2" max="2" width="9.140625" style="70" bestFit="1"/>
    <col min="3" max="3" width="11.5703125" bestFit="1" customWidth="1"/>
    <col min="4" max="5" width="9.28515625" bestFit="1" customWidth="1"/>
    <col min="6" max="6" width="11.5703125" customWidth="1"/>
    <col min="7" max="7" width="10" customWidth="1"/>
    <col min="8" max="8" width="6.85546875" customWidth="1"/>
    <col min="9" max="9" width="9.7109375" customWidth="1"/>
    <col min="11" max="11" width="10.7109375" bestFit="1" customWidth="1"/>
    <col min="12" max="12" width="10.42578125" customWidth="1"/>
    <col min="13" max="13" width="9.28515625" bestFit="1" customWidth="1"/>
  </cols>
  <sheetData>
    <row r="1" spans="1:13" s="90" customFormat="1">
      <c r="A1" s="100"/>
      <c r="B1" s="88" t="s">
        <v>92</v>
      </c>
      <c r="C1" s="88" t="s">
        <v>93</v>
      </c>
      <c r="D1" s="89" t="s">
        <v>30</v>
      </c>
      <c r="E1" s="89" t="s">
        <v>94</v>
      </c>
      <c r="F1" s="88" t="s">
        <v>13</v>
      </c>
      <c r="G1" s="89" t="s">
        <v>30</v>
      </c>
      <c r="H1" s="89" t="s">
        <v>95</v>
      </c>
      <c r="I1" s="89" t="s">
        <v>30</v>
      </c>
      <c r="J1" s="89" t="s">
        <v>30</v>
      </c>
      <c r="K1" s="89" t="s">
        <v>30</v>
      </c>
      <c r="L1" s="89" t="s">
        <v>96</v>
      </c>
      <c r="M1" s="89" t="s">
        <v>39</v>
      </c>
    </row>
    <row r="2" spans="1:13" s="93" customFormat="1">
      <c r="A2" s="92" t="s">
        <v>29</v>
      </c>
      <c r="B2" s="91" t="s">
        <v>97</v>
      </c>
      <c r="C2" s="91" t="s">
        <v>98</v>
      </c>
      <c r="D2" s="92" t="s">
        <v>94</v>
      </c>
      <c r="E2" s="92" t="s">
        <v>39</v>
      </c>
      <c r="F2" s="91" t="s">
        <v>99</v>
      </c>
      <c r="G2" s="92" t="s">
        <v>100</v>
      </c>
      <c r="H2" s="92" t="s">
        <v>39</v>
      </c>
      <c r="I2" s="92" t="s">
        <v>101</v>
      </c>
      <c r="J2" s="92" t="s">
        <v>102</v>
      </c>
      <c r="K2" s="92" t="s">
        <v>102</v>
      </c>
      <c r="L2" s="92" t="s">
        <v>103</v>
      </c>
      <c r="M2" s="92" t="s">
        <v>104</v>
      </c>
    </row>
    <row r="3" spans="1:13" s="90" customFormat="1">
      <c r="A3" s="89" t="s">
        <v>13</v>
      </c>
      <c r="B3" s="88" t="s">
        <v>105</v>
      </c>
      <c r="C3" s="88" t="s">
        <v>171</v>
      </c>
      <c r="D3" s="94" t="s">
        <v>39</v>
      </c>
      <c r="E3" s="95" t="s">
        <v>104</v>
      </c>
      <c r="F3" s="88" t="s">
        <v>98</v>
      </c>
      <c r="G3" s="94" t="s">
        <v>39</v>
      </c>
      <c r="H3" s="96" t="s">
        <v>104</v>
      </c>
      <c r="I3" s="89" t="s">
        <v>108</v>
      </c>
      <c r="J3" s="89" t="s">
        <v>109</v>
      </c>
      <c r="K3" s="89" t="s">
        <v>39</v>
      </c>
      <c r="L3" s="89" t="s">
        <v>172</v>
      </c>
      <c r="M3" s="89" t="s">
        <v>306</v>
      </c>
    </row>
    <row r="4" spans="1:13" s="93" customFormat="1">
      <c r="A4" s="101"/>
      <c r="B4" s="92" t="s">
        <v>111</v>
      </c>
      <c r="C4" s="103"/>
      <c r="D4" s="97"/>
      <c r="E4" s="98" t="s">
        <v>112</v>
      </c>
      <c r="F4" s="99"/>
      <c r="G4" s="99"/>
      <c r="H4" s="92" t="s">
        <v>99</v>
      </c>
      <c r="I4" s="97"/>
      <c r="J4" s="89" t="s">
        <v>305</v>
      </c>
      <c r="K4" s="99"/>
      <c r="L4" s="99"/>
      <c r="M4" s="92" t="s">
        <v>93</v>
      </c>
    </row>
    <row r="5" spans="1:13">
      <c r="A5" s="17" t="s">
        <v>113</v>
      </c>
      <c r="B5" s="102">
        <v>7632</v>
      </c>
      <c r="C5" s="3">
        <v>100514</v>
      </c>
      <c r="D5" s="55">
        <v>401058</v>
      </c>
      <c r="E5" s="56">
        <f>(D5/C5)/10</f>
        <v>0.39900710348807134</v>
      </c>
      <c r="F5" s="3">
        <v>8767200</v>
      </c>
      <c r="G5" s="55">
        <v>364038</v>
      </c>
      <c r="H5" s="57">
        <f t="shared" ref="H5:H12" si="0">(G5/F5)</f>
        <v>4.15227210511908E-2</v>
      </c>
      <c r="I5" s="3">
        <v>846365</v>
      </c>
      <c r="J5" s="3">
        <f t="shared" ref="J5:J19" si="1">(+F5*3412/1000000)+C5</f>
        <v>130427.68640000001</v>
      </c>
      <c r="K5" s="55">
        <f t="shared" ref="K5:K14" si="2">(G5+D5)</f>
        <v>765096</v>
      </c>
      <c r="L5" s="3">
        <f t="shared" ref="L5:L15" si="3">(J5*1000000)/I5</f>
        <v>154103.35540812771</v>
      </c>
      <c r="M5" s="58">
        <f t="shared" ref="M5:M15" si="4">(K5/J5)</f>
        <v>5.8660551384280319</v>
      </c>
    </row>
    <row r="6" spans="1:13">
      <c r="A6" s="17" t="s">
        <v>114</v>
      </c>
      <c r="B6" s="102">
        <v>7852</v>
      </c>
      <c r="C6" s="3">
        <v>91852</v>
      </c>
      <c r="D6" s="55">
        <v>328917</v>
      </c>
      <c r="E6" s="56">
        <f t="shared" ref="E6:E33" si="5">(D6/C6)/10</f>
        <v>0.35809454339589775</v>
      </c>
      <c r="F6" s="3">
        <v>8611200</v>
      </c>
      <c r="G6" s="55">
        <v>361161</v>
      </c>
      <c r="H6" s="57">
        <f t="shared" si="0"/>
        <v>4.1940844481605351E-2</v>
      </c>
      <c r="I6" s="3">
        <v>846365</v>
      </c>
      <c r="J6" s="3">
        <f t="shared" si="1"/>
        <v>121233.41440000001</v>
      </c>
      <c r="K6" s="55">
        <f t="shared" si="2"/>
        <v>690078</v>
      </c>
      <c r="L6" s="3">
        <f t="shared" si="3"/>
        <v>143240.10846384245</v>
      </c>
      <c r="M6" s="58">
        <f t="shared" si="4"/>
        <v>5.6921435679699863</v>
      </c>
    </row>
    <row r="7" spans="1:13">
      <c r="A7" s="17" t="s">
        <v>115</v>
      </c>
      <c r="B7" s="102">
        <v>6238</v>
      </c>
      <c r="C7" s="3">
        <v>86956</v>
      </c>
      <c r="D7" s="55">
        <v>186058</v>
      </c>
      <c r="E7" s="56">
        <f t="shared" si="5"/>
        <v>0.21396798380790286</v>
      </c>
      <c r="F7" s="3">
        <v>8407200</v>
      </c>
      <c r="G7" s="55">
        <v>330664</v>
      </c>
      <c r="H7" s="57">
        <f t="shared" si="0"/>
        <v>3.933104957655343E-2</v>
      </c>
      <c r="I7" s="3">
        <v>846365</v>
      </c>
      <c r="J7" s="3">
        <f t="shared" si="1"/>
        <v>115641.3664</v>
      </c>
      <c r="K7" s="55">
        <f t="shared" si="2"/>
        <v>516722</v>
      </c>
      <c r="L7" s="3">
        <f t="shared" si="3"/>
        <v>136632.97324440401</v>
      </c>
      <c r="M7" s="58">
        <f t="shared" si="4"/>
        <v>4.4683145494206133</v>
      </c>
    </row>
    <row r="8" spans="1:13">
      <c r="A8" s="17" t="s">
        <v>116</v>
      </c>
      <c r="B8" s="102">
        <v>7138</v>
      </c>
      <c r="C8" s="3">
        <v>98071</v>
      </c>
      <c r="D8" s="55">
        <v>235637</v>
      </c>
      <c r="E8" s="56">
        <f t="shared" si="5"/>
        <v>0.24027184386821793</v>
      </c>
      <c r="F8" s="3">
        <v>8894600</v>
      </c>
      <c r="G8" s="55">
        <v>376025</v>
      </c>
      <c r="H8" s="57">
        <f t="shared" si="0"/>
        <v>4.2275650394621458E-2</v>
      </c>
      <c r="I8" s="3">
        <v>846865</v>
      </c>
      <c r="J8" s="3">
        <f t="shared" si="1"/>
        <v>128419.37519999999</v>
      </c>
      <c r="K8" s="55">
        <f t="shared" si="2"/>
        <v>611662</v>
      </c>
      <c r="L8" s="3">
        <f t="shared" si="3"/>
        <v>151640.90522102106</v>
      </c>
      <c r="M8" s="58">
        <f t="shared" si="4"/>
        <v>4.7630040174810011</v>
      </c>
    </row>
    <row r="9" spans="1:13">
      <c r="A9" s="17" t="s">
        <v>221</v>
      </c>
      <c r="B9" s="102">
        <v>7817</v>
      </c>
      <c r="C9" s="3">
        <v>100426</v>
      </c>
      <c r="D9" s="55">
        <v>231792</v>
      </c>
      <c r="E9" s="56">
        <f t="shared" si="5"/>
        <v>0.23080875470495688</v>
      </c>
      <c r="F9" s="3">
        <v>9900000</v>
      </c>
      <c r="G9" s="55">
        <v>418470</v>
      </c>
      <c r="H9" s="57">
        <f t="shared" si="0"/>
        <v>4.2269696969696971E-2</v>
      </c>
      <c r="I9" s="3">
        <v>846365</v>
      </c>
      <c r="J9" s="3">
        <f t="shared" si="1"/>
        <v>134204.79999999999</v>
      </c>
      <c r="K9" s="55">
        <f t="shared" si="2"/>
        <v>650262</v>
      </c>
      <c r="L9" s="3">
        <f t="shared" si="3"/>
        <v>158566.10327695496</v>
      </c>
      <c r="M9" s="58">
        <f t="shared" si="4"/>
        <v>4.8452961444002005</v>
      </c>
    </row>
    <row r="10" spans="1:13">
      <c r="A10" s="17" t="s">
        <v>222</v>
      </c>
      <c r="B10" s="102">
        <v>8181</v>
      </c>
      <c r="C10" s="3">
        <v>99062</v>
      </c>
      <c r="D10" s="55">
        <v>232017</v>
      </c>
      <c r="E10" s="56">
        <f t="shared" si="5"/>
        <v>0.23421392663180635</v>
      </c>
      <c r="F10" s="3">
        <v>9614400</v>
      </c>
      <c r="G10" s="55">
        <v>431765</v>
      </c>
      <c r="H10" s="57">
        <f t="shared" si="0"/>
        <v>4.4908158595440173E-2</v>
      </c>
      <c r="I10" s="3">
        <v>938865</v>
      </c>
      <c r="J10" s="3">
        <f t="shared" si="1"/>
        <v>131866.3328</v>
      </c>
      <c r="K10" s="55">
        <f t="shared" si="2"/>
        <v>663782</v>
      </c>
      <c r="L10" s="3">
        <f t="shared" si="3"/>
        <v>140452.92219861216</v>
      </c>
      <c r="M10" s="58">
        <f t="shared" si="4"/>
        <v>5.0337488417665313</v>
      </c>
    </row>
    <row r="11" spans="1:13">
      <c r="A11" s="17" t="s">
        <v>223</v>
      </c>
      <c r="B11" s="102">
        <v>7795</v>
      </c>
      <c r="C11" s="3">
        <v>98739</v>
      </c>
      <c r="D11" s="55">
        <v>251671</v>
      </c>
      <c r="E11" s="56">
        <f t="shared" si="5"/>
        <v>0.25488510112518858</v>
      </c>
      <c r="F11" s="3">
        <v>10459200</v>
      </c>
      <c r="G11" s="55">
        <v>463053</v>
      </c>
      <c r="H11" s="57">
        <f t="shared" si="0"/>
        <v>4.4272315282239558E-2</v>
      </c>
      <c r="I11" s="3">
        <v>944865</v>
      </c>
      <c r="J11" s="3">
        <f t="shared" si="1"/>
        <v>134425.7904</v>
      </c>
      <c r="K11" s="55">
        <f t="shared" si="2"/>
        <v>714724</v>
      </c>
      <c r="L11" s="3">
        <f t="shared" si="3"/>
        <v>142269.83791335271</v>
      </c>
      <c r="M11" s="58">
        <f t="shared" si="4"/>
        <v>5.3168666360320689</v>
      </c>
    </row>
    <row r="12" spans="1:13">
      <c r="A12" s="17" t="s">
        <v>117</v>
      </c>
      <c r="B12" s="102">
        <v>7915</v>
      </c>
      <c r="C12" s="3">
        <v>92268</v>
      </c>
      <c r="D12" s="55">
        <v>159770</v>
      </c>
      <c r="E12" s="56">
        <f t="shared" si="5"/>
        <v>0.17315862487536307</v>
      </c>
      <c r="F12" s="3">
        <v>10699200</v>
      </c>
      <c r="G12" s="55">
        <v>473973</v>
      </c>
      <c r="H12" s="57">
        <f t="shared" si="0"/>
        <v>4.4299854194706147E-2</v>
      </c>
      <c r="I12" s="3">
        <v>944865</v>
      </c>
      <c r="J12" s="3">
        <f t="shared" si="1"/>
        <v>128773.6704</v>
      </c>
      <c r="K12" s="55">
        <f t="shared" si="2"/>
        <v>633743</v>
      </c>
      <c r="L12" s="3">
        <f t="shared" si="3"/>
        <v>136287.90398628375</v>
      </c>
      <c r="M12" s="58">
        <f t="shared" si="4"/>
        <v>4.9213709450965526</v>
      </c>
    </row>
    <row r="13" spans="1:13">
      <c r="A13" s="17" t="s">
        <v>224</v>
      </c>
      <c r="B13" s="102">
        <v>7296</v>
      </c>
      <c r="C13" s="3">
        <v>95977</v>
      </c>
      <c r="D13" s="55">
        <v>165834.46</v>
      </c>
      <c r="E13" s="56">
        <f t="shared" si="5"/>
        <v>0.17278562572282943</v>
      </c>
      <c r="F13" s="3">
        <v>10420800</v>
      </c>
      <c r="G13" s="55">
        <v>480192</v>
      </c>
      <c r="H13" s="57">
        <v>4.3999999999999997E-2</v>
      </c>
      <c r="I13" s="3">
        <v>966865</v>
      </c>
      <c r="J13" s="3">
        <f t="shared" si="1"/>
        <v>131532.7696</v>
      </c>
      <c r="K13" s="55">
        <f t="shared" si="2"/>
        <v>646026.46</v>
      </c>
      <c r="L13" s="3">
        <f t="shared" si="3"/>
        <v>136040.47059310245</v>
      </c>
      <c r="M13" s="58">
        <f t="shared" si="4"/>
        <v>4.911524800736804</v>
      </c>
    </row>
    <row r="14" spans="1:13">
      <c r="A14" s="427" t="s">
        <v>146</v>
      </c>
      <c r="B14" s="102">
        <v>7098</v>
      </c>
      <c r="C14" s="3">
        <v>85173</v>
      </c>
      <c r="D14" s="55">
        <v>212107.05</v>
      </c>
      <c r="E14" s="56">
        <f t="shared" si="5"/>
        <v>0.24903085484836743</v>
      </c>
      <c r="F14" s="3">
        <v>10384173</v>
      </c>
      <c r="G14" s="55">
        <v>487721.55</v>
      </c>
      <c r="H14" s="57">
        <f t="shared" ref="H14:H23" si="6">(G14/F14)</f>
        <v>4.6967779716304801E-2</v>
      </c>
      <c r="I14" s="3">
        <v>972865</v>
      </c>
      <c r="J14" s="3">
        <f t="shared" si="1"/>
        <v>120603.798276</v>
      </c>
      <c r="K14" s="55">
        <f t="shared" si="2"/>
        <v>699828.6</v>
      </c>
      <c r="L14" s="3">
        <f t="shared" si="3"/>
        <v>123967.66075046384</v>
      </c>
      <c r="M14" s="58">
        <f t="shared" si="4"/>
        <v>5.8027077919921943</v>
      </c>
    </row>
    <row r="15" spans="1:13">
      <c r="A15" s="17" t="s">
        <v>87</v>
      </c>
      <c r="B15" s="102">
        <v>6139</v>
      </c>
      <c r="C15" s="3">
        <v>77444</v>
      </c>
      <c r="D15" s="55">
        <v>155666.62</v>
      </c>
      <c r="E15" s="56">
        <f t="shared" si="5"/>
        <v>0.2010053974484789</v>
      </c>
      <c r="F15" s="3">
        <v>10454200</v>
      </c>
      <c r="G15" s="55">
        <v>509883.07</v>
      </c>
      <c r="H15" s="57">
        <f t="shared" si="6"/>
        <v>4.8773035717701974E-2</v>
      </c>
      <c r="I15" s="3">
        <v>972865</v>
      </c>
      <c r="J15" s="3">
        <f t="shared" si="1"/>
        <v>113113.7304</v>
      </c>
      <c r="K15" s="55">
        <v>665550</v>
      </c>
      <c r="L15" s="3">
        <f t="shared" si="3"/>
        <v>116268.68106057881</v>
      </c>
      <c r="M15" s="58">
        <f t="shared" si="4"/>
        <v>5.8839010759033368</v>
      </c>
    </row>
    <row r="16" spans="1:13">
      <c r="A16" s="427" t="s">
        <v>477</v>
      </c>
      <c r="B16" s="102">
        <v>7921</v>
      </c>
      <c r="C16" s="3">
        <v>91589</v>
      </c>
      <c r="D16" s="55">
        <v>211776</v>
      </c>
      <c r="E16" s="56">
        <f t="shared" si="5"/>
        <v>0.23122427365731696</v>
      </c>
      <c r="F16" s="3">
        <v>10836825</v>
      </c>
      <c r="G16" s="55">
        <v>531950.66</v>
      </c>
      <c r="H16" s="57">
        <f t="shared" si="6"/>
        <v>4.9087316626410415E-2</v>
      </c>
      <c r="I16" s="3">
        <v>972865</v>
      </c>
      <c r="J16" s="3">
        <f t="shared" si="1"/>
        <v>128564.2469</v>
      </c>
      <c r="K16" s="55">
        <v>743726</v>
      </c>
      <c r="L16" s="3">
        <v>132149</v>
      </c>
      <c r="M16" s="58">
        <v>5.7849000000000004</v>
      </c>
    </row>
    <row r="17" spans="1:13">
      <c r="A17" s="427" t="s">
        <v>478</v>
      </c>
      <c r="B17" s="102">
        <v>7297</v>
      </c>
      <c r="C17" s="3">
        <v>99991</v>
      </c>
      <c r="D17" s="55">
        <v>293146.26</v>
      </c>
      <c r="E17" s="56">
        <f t="shared" si="5"/>
        <v>0.29317264553809841</v>
      </c>
      <c r="F17" s="3">
        <v>11983679</v>
      </c>
      <c r="G17" s="55">
        <v>559179.31000000006</v>
      </c>
      <c r="H17" s="57">
        <f t="shared" si="6"/>
        <v>4.6661739687787036E-2</v>
      </c>
      <c r="I17" s="3">
        <v>1018615</v>
      </c>
      <c r="J17" s="3">
        <f t="shared" si="1"/>
        <v>140879.312748</v>
      </c>
      <c r="K17" s="55">
        <v>852325.57</v>
      </c>
      <c r="L17" s="3">
        <v>139404</v>
      </c>
      <c r="M17" s="58">
        <v>5.8647</v>
      </c>
    </row>
    <row r="18" spans="1:13">
      <c r="A18" s="428" t="s">
        <v>479</v>
      </c>
      <c r="B18" s="102">
        <v>6589</v>
      </c>
      <c r="C18" s="3">
        <v>82412</v>
      </c>
      <c r="D18" s="55">
        <v>223641.54</v>
      </c>
      <c r="E18" s="56">
        <f t="shared" si="5"/>
        <v>0.27137011600252392</v>
      </c>
      <c r="F18" s="3">
        <v>12782400</v>
      </c>
      <c r="G18" s="55">
        <v>613894</v>
      </c>
      <c r="H18" s="57">
        <f t="shared" si="6"/>
        <v>4.8026505194642632E-2</v>
      </c>
      <c r="I18" s="3">
        <v>1056615</v>
      </c>
      <c r="J18" s="3">
        <f t="shared" si="1"/>
        <v>126025.54879999999</v>
      </c>
      <c r="K18" s="55">
        <f t="shared" ref="K18:K23" si="7">(G18+D18)</f>
        <v>837535.54</v>
      </c>
      <c r="L18" s="3">
        <f t="shared" ref="L18:L23" si="8">(J18*1000000)/I18</f>
        <v>119272.91283958677</v>
      </c>
      <c r="M18" s="58">
        <f t="shared" ref="M18:M23" si="9">(K18/J18)</f>
        <v>6.645759911183978</v>
      </c>
    </row>
    <row r="19" spans="1:13">
      <c r="A19" s="17" t="s">
        <v>91</v>
      </c>
      <c r="B19" s="102">
        <v>6788</v>
      </c>
      <c r="C19" s="69">
        <v>86690</v>
      </c>
      <c r="D19" s="55">
        <v>197452.77</v>
      </c>
      <c r="E19" s="56">
        <f t="shared" si="5"/>
        <v>0.22776879686238322</v>
      </c>
      <c r="F19" s="3">
        <v>12972000</v>
      </c>
      <c r="G19" s="55">
        <v>626697</v>
      </c>
      <c r="H19" s="57">
        <f t="shared" si="6"/>
        <v>4.8311517113783536E-2</v>
      </c>
      <c r="I19" s="3">
        <v>1056615</v>
      </c>
      <c r="J19" s="3">
        <f t="shared" si="1"/>
        <v>130950.46400000001</v>
      </c>
      <c r="K19" s="55">
        <f t="shared" si="7"/>
        <v>824149.77</v>
      </c>
      <c r="L19" s="3">
        <f t="shared" si="8"/>
        <v>123933.94377327598</v>
      </c>
      <c r="M19" s="58">
        <f t="shared" si="9"/>
        <v>6.2935994636872765</v>
      </c>
    </row>
    <row r="20" spans="1:13">
      <c r="A20" s="427" t="s">
        <v>480</v>
      </c>
      <c r="B20" s="102">
        <v>6669</v>
      </c>
      <c r="C20" s="69">
        <v>76959</v>
      </c>
      <c r="D20" s="55">
        <v>221394</v>
      </c>
      <c r="E20" s="56">
        <f t="shared" si="5"/>
        <v>0.28767785444197558</v>
      </c>
      <c r="F20" s="3">
        <v>12117600</v>
      </c>
      <c r="G20" s="55">
        <v>621699</v>
      </c>
      <c r="H20" s="57">
        <f t="shared" si="6"/>
        <v>5.1305456526044763E-2</v>
      </c>
      <c r="I20" s="3">
        <v>1053903</v>
      </c>
      <c r="J20" s="3">
        <v>118370</v>
      </c>
      <c r="K20" s="55">
        <f t="shared" si="7"/>
        <v>843093</v>
      </c>
      <c r="L20" s="3">
        <f t="shared" si="8"/>
        <v>112315.83931348521</v>
      </c>
      <c r="M20" s="58">
        <f t="shared" si="9"/>
        <v>7.1225225986314102</v>
      </c>
    </row>
    <row r="21" spans="1:13">
      <c r="A21" s="427" t="s">
        <v>481</v>
      </c>
      <c r="B21" s="102">
        <v>7959</v>
      </c>
      <c r="C21" s="69">
        <v>94701</v>
      </c>
      <c r="D21" s="55">
        <v>506962</v>
      </c>
      <c r="E21" s="56">
        <f t="shared" si="5"/>
        <v>0.53532908839399795</v>
      </c>
      <c r="F21" s="3">
        <v>11611968</v>
      </c>
      <c r="G21" s="55">
        <v>567550.06999999995</v>
      </c>
      <c r="H21" s="57">
        <f t="shared" si="6"/>
        <v>4.8876303310515491E-2</v>
      </c>
      <c r="I21" s="3">
        <v>1149717</v>
      </c>
      <c r="J21" s="3">
        <f t="shared" ref="J21:J33" si="10">(+F21*3412/1000000)+C21</f>
        <v>134321.034816</v>
      </c>
      <c r="K21" s="55">
        <f t="shared" si="7"/>
        <v>1074512.0699999998</v>
      </c>
      <c r="L21" s="3">
        <f t="shared" si="8"/>
        <v>116829.65009302289</v>
      </c>
      <c r="M21" s="58">
        <f t="shared" si="9"/>
        <v>7.9995815359219264</v>
      </c>
    </row>
    <row r="22" spans="1:13">
      <c r="A22" s="429" t="s">
        <v>482</v>
      </c>
      <c r="B22" s="102">
        <v>6681</v>
      </c>
      <c r="C22" s="69">
        <v>85416</v>
      </c>
      <c r="D22" s="55">
        <v>326532</v>
      </c>
      <c r="E22" s="56">
        <f t="shared" si="5"/>
        <v>0.38228434953638663</v>
      </c>
      <c r="F22" s="3">
        <v>12739200</v>
      </c>
      <c r="G22" s="55">
        <v>640022.43000000005</v>
      </c>
      <c r="H22" s="57">
        <f t="shared" si="6"/>
        <v>5.0240394216277323E-2</v>
      </c>
      <c r="I22" s="3">
        <v>1187717</v>
      </c>
      <c r="J22" s="3">
        <f t="shared" si="10"/>
        <v>128882.1504</v>
      </c>
      <c r="K22" s="55">
        <f t="shared" si="7"/>
        <v>966554.43</v>
      </c>
      <c r="L22" s="3">
        <f t="shared" si="8"/>
        <v>108512.50794591641</v>
      </c>
      <c r="M22" s="58">
        <f t="shared" si="9"/>
        <v>7.4995212835927356</v>
      </c>
    </row>
    <row r="23" spans="1:13">
      <c r="A23" s="85" t="s">
        <v>211</v>
      </c>
      <c r="B23" s="102">
        <v>7787</v>
      </c>
      <c r="C23" s="69">
        <v>91334</v>
      </c>
      <c r="D23" s="55">
        <v>432449.78</v>
      </c>
      <c r="E23" s="56">
        <f t="shared" si="5"/>
        <v>0.47348170451310578</v>
      </c>
      <c r="F23" s="3">
        <v>13257600</v>
      </c>
      <c r="G23" s="55">
        <v>637913.79</v>
      </c>
      <c r="H23" s="57">
        <f t="shared" si="6"/>
        <v>4.8116837889210722E-2</v>
      </c>
      <c r="I23" s="3">
        <v>1187717</v>
      </c>
      <c r="J23" s="3">
        <f t="shared" si="10"/>
        <v>136568.93119999999</v>
      </c>
      <c r="K23" s="55">
        <f t="shared" si="7"/>
        <v>1070363.57</v>
      </c>
      <c r="L23" s="3">
        <f t="shared" si="8"/>
        <v>114984.40386051558</v>
      </c>
      <c r="M23" s="58">
        <f t="shared" si="9"/>
        <v>7.83753347554938</v>
      </c>
    </row>
    <row r="24" spans="1:13">
      <c r="A24" s="429" t="s">
        <v>483</v>
      </c>
      <c r="B24" s="102">
        <v>7433</v>
      </c>
      <c r="C24" s="69">
        <v>89501</v>
      </c>
      <c r="D24" s="55">
        <v>423755</v>
      </c>
      <c r="E24" s="56">
        <f t="shared" si="5"/>
        <v>0.47346398364264086</v>
      </c>
      <c r="F24" s="3">
        <v>12969600</v>
      </c>
      <c r="G24" s="55">
        <v>639256.43999999994</v>
      </c>
      <c r="H24" s="57">
        <v>4.9288999999999999E-2</v>
      </c>
      <c r="I24" s="3">
        <v>1187717</v>
      </c>
      <c r="J24" s="3">
        <f t="shared" si="10"/>
        <v>133753.2752</v>
      </c>
      <c r="K24" s="55">
        <f t="shared" ref="K24:K33" si="11">(G24+D24)</f>
        <v>1063011.44</v>
      </c>
      <c r="L24" s="3">
        <f t="shared" ref="L24:L33" si="12">(J24*1000000)/I24</f>
        <v>112613.75832795186</v>
      </c>
      <c r="M24" s="58">
        <f t="shared" ref="M24:M33" si="13">(K24/J24)</f>
        <v>7.947554468557791</v>
      </c>
    </row>
    <row r="25" spans="1:13">
      <c r="A25" s="429" t="s">
        <v>484</v>
      </c>
      <c r="B25" s="306">
        <v>7161</v>
      </c>
      <c r="C25" s="307">
        <v>107579.21145199999</v>
      </c>
      <c r="D25" s="308">
        <v>461911</v>
      </c>
      <c r="E25" s="56">
        <f t="shared" si="5"/>
        <v>0.42936827084487117</v>
      </c>
      <c r="F25" s="309">
        <v>12944171</v>
      </c>
      <c r="G25" s="308">
        <v>677250.68</v>
      </c>
      <c r="H25" s="310">
        <v>5.1999999999999998E-2</v>
      </c>
      <c r="I25" s="309">
        <v>1208213</v>
      </c>
      <c r="J25" s="309">
        <f t="shared" si="10"/>
        <v>151744.72290399999</v>
      </c>
      <c r="K25" s="308">
        <f t="shared" si="11"/>
        <v>1139161.6800000002</v>
      </c>
      <c r="L25" s="309">
        <f t="shared" si="12"/>
        <v>125594.34710932593</v>
      </c>
      <c r="M25" s="311">
        <f t="shared" si="13"/>
        <v>7.5070925578129071</v>
      </c>
    </row>
    <row r="26" spans="1:13">
      <c r="A26" s="312" t="s">
        <v>304</v>
      </c>
      <c r="B26" s="306">
        <v>6545</v>
      </c>
      <c r="C26" s="307">
        <f>78282150/1000</f>
        <v>78282.149999999994</v>
      </c>
      <c r="D26" s="308">
        <v>715475.74199999997</v>
      </c>
      <c r="E26" s="56">
        <f t="shared" si="5"/>
        <v>0.9139704798603514</v>
      </c>
      <c r="F26" s="309">
        <v>13058757</v>
      </c>
      <c r="G26" s="308">
        <v>807129.35</v>
      </c>
      <c r="H26" s="310">
        <f t="shared" ref="H26:H33" si="14">G26/F26</f>
        <v>6.1807517361721333E-2</v>
      </c>
      <c r="I26" s="309">
        <v>1208213</v>
      </c>
      <c r="J26" s="309">
        <f t="shared" si="10"/>
        <v>122838.62888399999</v>
      </c>
      <c r="K26" s="308">
        <f t="shared" si="11"/>
        <v>1522605.0919999999</v>
      </c>
      <c r="L26" s="309">
        <f t="shared" si="12"/>
        <v>101669.67983625403</v>
      </c>
      <c r="M26" s="311">
        <f t="shared" si="13"/>
        <v>12.395165151491875</v>
      </c>
    </row>
    <row r="27" spans="1:13">
      <c r="A27" s="312" t="s">
        <v>328</v>
      </c>
      <c r="B27" s="306">
        <v>7082</v>
      </c>
      <c r="C27" s="307">
        <v>77067</v>
      </c>
      <c r="D27" s="308">
        <v>469784</v>
      </c>
      <c r="E27" s="56">
        <f t="shared" si="5"/>
        <v>0.60957867829291401</v>
      </c>
      <c r="F27" s="309">
        <v>12399200</v>
      </c>
      <c r="G27" s="308">
        <v>836588</v>
      </c>
      <c r="H27" s="310">
        <f t="shared" si="14"/>
        <v>6.7471127169494813E-2</v>
      </c>
      <c r="I27" s="309">
        <v>1208213</v>
      </c>
      <c r="J27" s="309">
        <f t="shared" si="10"/>
        <v>119373.0704</v>
      </c>
      <c r="K27" s="308">
        <f t="shared" si="11"/>
        <v>1306372</v>
      </c>
      <c r="L27" s="309">
        <f t="shared" si="12"/>
        <v>98801.345789194456</v>
      </c>
      <c r="M27" s="311">
        <f t="shared" si="13"/>
        <v>10.943607261022583</v>
      </c>
    </row>
    <row r="28" spans="1:13">
      <c r="A28" s="312" t="s">
        <v>362</v>
      </c>
      <c r="B28" s="306">
        <v>7914</v>
      </c>
      <c r="C28" s="307">
        <v>89275</v>
      </c>
      <c r="D28" s="308">
        <v>785994</v>
      </c>
      <c r="E28" s="56">
        <f t="shared" si="5"/>
        <v>0.88041893027163254</v>
      </c>
      <c r="F28" s="309">
        <v>10787257</v>
      </c>
      <c r="G28" s="308">
        <v>796219</v>
      </c>
      <c r="H28" s="310">
        <f t="shared" si="14"/>
        <v>7.3811071711742851E-2</v>
      </c>
      <c r="I28" s="309">
        <v>1208213</v>
      </c>
      <c r="J28" s="309">
        <f t="shared" si="10"/>
        <v>126081.120884</v>
      </c>
      <c r="K28" s="308">
        <f t="shared" si="11"/>
        <v>1582213</v>
      </c>
      <c r="L28" s="309">
        <f t="shared" si="12"/>
        <v>104353.38875181777</v>
      </c>
      <c r="M28" s="311">
        <f t="shared" si="13"/>
        <v>12.549166670684212</v>
      </c>
    </row>
    <row r="29" spans="1:13">
      <c r="A29" s="312" t="s">
        <v>375</v>
      </c>
      <c r="B29" s="306">
        <v>7743</v>
      </c>
      <c r="C29" s="307">
        <v>85403</v>
      </c>
      <c r="D29" s="308">
        <v>514774</v>
      </c>
      <c r="E29" s="56">
        <f t="shared" si="5"/>
        <v>0.60275868529208576</v>
      </c>
      <c r="F29" s="309">
        <v>12337600</v>
      </c>
      <c r="G29" s="308">
        <v>947030</v>
      </c>
      <c r="H29" s="310">
        <f t="shared" si="14"/>
        <v>7.6759661522500328E-2</v>
      </c>
      <c r="I29" s="309">
        <v>1208213</v>
      </c>
      <c r="J29" s="309">
        <f t="shared" si="10"/>
        <v>127498.8912</v>
      </c>
      <c r="K29" s="308">
        <f t="shared" si="11"/>
        <v>1461804</v>
      </c>
      <c r="L29" s="309">
        <f t="shared" si="12"/>
        <v>105526.83276872538</v>
      </c>
      <c r="M29" s="311">
        <f t="shared" si="13"/>
        <v>11.465229118792525</v>
      </c>
    </row>
    <row r="30" spans="1:13">
      <c r="A30" s="367" t="s">
        <v>388</v>
      </c>
      <c r="B30" s="306">
        <v>7216</v>
      </c>
      <c r="C30" s="307">
        <v>77752</v>
      </c>
      <c r="D30" s="308">
        <v>461433</v>
      </c>
      <c r="E30" s="56">
        <f t="shared" si="5"/>
        <v>0.5934676921493981</v>
      </c>
      <c r="F30" s="294">
        <v>11670400</v>
      </c>
      <c r="G30" s="308">
        <v>853399</v>
      </c>
      <c r="H30" s="310">
        <f t="shared" si="14"/>
        <v>7.3125085686865918E-2</v>
      </c>
      <c r="I30" s="309">
        <v>1208213</v>
      </c>
      <c r="J30" s="309">
        <f t="shared" si="10"/>
        <v>117571.40479999999</v>
      </c>
      <c r="K30" s="308">
        <f t="shared" si="11"/>
        <v>1314832</v>
      </c>
      <c r="L30" s="309">
        <f t="shared" si="12"/>
        <v>97310.16368802519</v>
      </c>
      <c r="M30" s="311">
        <f t="shared" si="13"/>
        <v>11.18326350048001</v>
      </c>
    </row>
    <row r="31" spans="1:13">
      <c r="A31" s="367" t="s">
        <v>452</v>
      </c>
      <c r="B31" s="306">
        <v>7870</v>
      </c>
      <c r="C31" s="307">
        <v>80809</v>
      </c>
      <c r="D31" s="308">
        <v>494775</v>
      </c>
      <c r="E31" s="56">
        <f t="shared" si="5"/>
        <v>0.61227709784801199</v>
      </c>
      <c r="F31" s="294">
        <v>11887400</v>
      </c>
      <c r="G31" s="308">
        <v>908134</v>
      </c>
      <c r="H31" s="310">
        <f t="shared" si="14"/>
        <v>7.6394669986708616E-2</v>
      </c>
      <c r="I31" s="309">
        <v>1208213</v>
      </c>
      <c r="J31" s="309">
        <f t="shared" si="10"/>
        <v>121368.8088</v>
      </c>
      <c r="K31" s="308">
        <f t="shared" si="11"/>
        <v>1402909</v>
      </c>
      <c r="L31" s="309">
        <f t="shared" si="12"/>
        <v>100453.15585910762</v>
      </c>
      <c r="M31" s="311">
        <f t="shared" si="13"/>
        <v>11.55905717350997</v>
      </c>
    </row>
    <row r="32" spans="1:13">
      <c r="A32" s="367" t="s">
        <v>490</v>
      </c>
      <c r="B32" s="306">
        <v>6302</v>
      </c>
      <c r="C32" s="307">
        <v>64591</v>
      </c>
      <c r="D32" s="308">
        <v>316037</v>
      </c>
      <c r="E32" s="56">
        <f t="shared" si="5"/>
        <v>0.48928952950101412</v>
      </c>
      <c r="F32" s="294">
        <v>11454100</v>
      </c>
      <c r="G32" s="308">
        <v>903976</v>
      </c>
      <c r="H32" s="310">
        <f t="shared" si="14"/>
        <v>7.8921608856217421E-2</v>
      </c>
      <c r="I32" s="309">
        <v>1208213</v>
      </c>
      <c r="J32" s="309">
        <f t="shared" si="10"/>
        <v>103672.38920000001</v>
      </c>
      <c r="K32" s="308">
        <f t="shared" si="11"/>
        <v>1220013</v>
      </c>
      <c r="L32" s="309">
        <f t="shared" si="12"/>
        <v>85806.384470287943</v>
      </c>
      <c r="M32" s="311">
        <f t="shared" si="13"/>
        <v>11.767964541131651</v>
      </c>
    </row>
    <row r="33" spans="1:13">
      <c r="A33" s="367" t="s">
        <v>512</v>
      </c>
      <c r="B33" s="306">
        <v>7562</v>
      </c>
      <c r="C33" s="307">
        <v>82310</v>
      </c>
      <c r="D33" s="308">
        <v>393809</v>
      </c>
      <c r="E33" s="56">
        <f t="shared" si="5"/>
        <v>0.47844611833313089</v>
      </c>
      <c r="F33" s="294">
        <v>11916100</v>
      </c>
      <c r="G33" s="308">
        <v>979799</v>
      </c>
      <c r="H33" s="310">
        <f t="shared" si="14"/>
        <v>8.2224805095626921E-2</v>
      </c>
      <c r="I33" s="309">
        <v>1208213</v>
      </c>
      <c r="J33" s="309">
        <f t="shared" si="10"/>
        <v>122967.7332</v>
      </c>
      <c r="K33" s="308">
        <f t="shared" si="11"/>
        <v>1373608</v>
      </c>
      <c r="L33" s="309">
        <f t="shared" si="12"/>
        <v>101776.5354287696</v>
      </c>
      <c r="M33" s="311">
        <f t="shared" si="13"/>
        <v>11.17047508524781</v>
      </c>
    </row>
    <row r="34" spans="1:13" ht="12" customHeight="1">
      <c r="A34" s="425" t="s">
        <v>469</v>
      </c>
      <c r="B34" s="62"/>
      <c r="C34" s="2"/>
      <c r="D34" s="55"/>
      <c r="E34" s="56"/>
      <c r="F34" s="3"/>
      <c r="G34" s="55"/>
      <c r="H34" s="42"/>
      <c r="I34" s="3"/>
      <c r="J34" s="3"/>
      <c r="K34" s="55"/>
      <c r="L34" s="3"/>
      <c r="M34" s="58"/>
    </row>
    <row r="35" spans="1:13" ht="12" customHeight="1">
      <c r="A35" s="331" t="s">
        <v>118</v>
      </c>
      <c r="B35" s="62"/>
      <c r="C35" s="2"/>
      <c r="D35" s="55"/>
      <c r="E35" s="56"/>
      <c r="F35" s="3"/>
      <c r="G35" s="55"/>
      <c r="H35" s="42"/>
      <c r="I35" s="3"/>
      <c r="J35" s="3"/>
      <c r="K35" s="55"/>
      <c r="L35" s="3"/>
      <c r="M35" s="58"/>
    </row>
    <row r="36" spans="1:13" ht="12" customHeight="1">
      <c r="A36" s="331" t="s">
        <v>119</v>
      </c>
      <c r="B36" s="62"/>
      <c r="C36" s="2"/>
      <c r="D36" s="55"/>
      <c r="E36" s="56"/>
      <c r="F36" s="2"/>
      <c r="G36" s="55"/>
      <c r="H36" s="57"/>
      <c r="I36" s="2"/>
      <c r="J36" s="2"/>
      <c r="K36" s="2"/>
      <c r="L36" s="2"/>
      <c r="M36" s="2"/>
    </row>
    <row r="37" spans="1:13" ht="12" customHeight="1">
      <c r="A37" s="331" t="s">
        <v>120</v>
      </c>
      <c r="B37" s="62"/>
      <c r="C37" s="2"/>
      <c r="D37" s="55"/>
      <c r="E37" s="56"/>
      <c r="F37" s="2"/>
      <c r="G37" s="55"/>
      <c r="H37" s="57"/>
      <c r="I37" s="2"/>
      <c r="J37" s="2"/>
      <c r="K37" s="2"/>
      <c r="L37" s="2"/>
      <c r="M37" s="2"/>
    </row>
    <row r="38" spans="1:13" ht="12" customHeight="1">
      <c r="A38" s="425" t="s">
        <v>467</v>
      </c>
      <c r="B38" s="62"/>
      <c r="C38" s="2"/>
      <c r="D38" s="2"/>
      <c r="E38" s="2"/>
      <c r="F38" s="2"/>
      <c r="G38" s="55"/>
      <c r="H38" s="57"/>
      <c r="I38" s="2"/>
      <c r="J38" s="2"/>
      <c r="K38" s="2"/>
      <c r="L38" s="2"/>
      <c r="M38" s="2"/>
    </row>
    <row r="39" spans="1:13" ht="12" customHeight="1">
      <c r="A39" s="425" t="s">
        <v>468</v>
      </c>
      <c r="B39" s="62"/>
      <c r="C39" s="2"/>
      <c r="D39" s="55"/>
      <c r="E39" s="56"/>
      <c r="F39" s="2"/>
      <c r="G39" s="55"/>
      <c r="H39" s="57"/>
      <c r="I39" s="2"/>
      <c r="J39" s="2"/>
      <c r="K39" s="2"/>
      <c r="L39" s="2"/>
      <c r="M39" s="2"/>
    </row>
    <row r="40" spans="1:13" ht="12" customHeight="1">
      <c r="A40" s="426" t="s">
        <v>470</v>
      </c>
      <c r="B40" s="6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</row>
    <row r="41" spans="1:13" ht="12" customHeight="1">
      <c r="A41" s="426" t="s">
        <v>471</v>
      </c>
      <c r="B41" s="62"/>
      <c r="C41" s="2"/>
      <c r="D41" s="2"/>
      <c r="E41" s="2"/>
      <c r="F41" s="2"/>
      <c r="G41" s="55"/>
      <c r="H41" s="57"/>
      <c r="I41" s="2"/>
      <c r="J41" s="2"/>
      <c r="K41" s="2"/>
      <c r="L41" s="2"/>
      <c r="M41" s="2"/>
    </row>
    <row r="42" spans="1:13" ht="12" customHeight="1">
      <c r="A42" s="426" t="s">
        <v>472</v>
      </c>
      <c r="B42" s="62"/>
      <c r="C42" s="2"/>
      <c r="D42" s="2"/>
      <c r="E42" s="2"/>
      <c r="F42" s="2"/>
      <c r="G42" s="55"/>
      <c r="H42" s="57"/>
      <c r="I42" s="2"/>
      <c r="J42" s="2"/>
      <c r="K42" s="2"/>
      <c r="L42" s="2"/>
      <c r="M42" s="2"/>
    </row>
    <row r="43" spans="1:13" ht="12" customHeight="1">
      <c r="A43" s="364" t="s">
        <v>473</v>
      </c>
    </row>
    <row r="44" spans="1:13" ht="12" customHeight="1">
      <c r="A44" s="332" t="s">
        <v>225</v>
      </c>
    </row>
    <row r="45" spans="1:13" ht="12" customHeight="1">
      <c r="A45" s="364" t="s">
        <v>474</v>
      </c>
    </row>
    <row r="46" spans="1:13" ht="12" customHeight="1">
      <c r="A46" s="364" t="s">
        <v>475</v>
      </c>
    </row>
    <row r="47" spans="1:13" ht="12" customHeight="1">
      <c r="A47" s="332" t="s">
        <v>329</v>
      </c>
    </row>
    <row r="48" spans="1:13" s="332" customFormat="1" ht="12" customHeight="1">
      <c r="A48" s="332" t="s">
        <v>371</v>
      </c>
    </row>
    <row r="49" spans="1:6" s="332" customFormat="1" ht="12" customHeight="1">
      <c r="A49" s="364" t="s">
        <v>476</v>
      </c>
    </row>
    <row r="50" spans="1:6">
      <c r="A50" s="364" t="s">
        <v>385</v>
      </c>
      <c r="B50" s="102"/>
      <c r="C50" s="3"/>
      <c r="D50" s="3"/>
      <c r="F50" s="3"/>
    </row>
    <row r="51" spans="1:6">
      <c r="A51" s="364" t="s">
        <v>384</v>
      </c>
      <c r="B51" s="102"/>
      <c r="C51" s="3"/>
      <c r="D51" s="3"/>
      <c r="F51" s="3"/>
    </row>
    <row r="52" spans="1:6" s="364" customFormat="1" ht="11.25">
      <c r="A52" s="364" t="s">
        <v>527</v>
      </c>
    </row>
    <row r="53" spans="1:6" s="364" customFormat="1" ht="11.25">
      <c r="A53" s="364" t="s">
        <v>526</v>
      </c>
    </row>
    <row r="54" spans="1:6" s="364" customFormat="1" ht="11.25">
      <c r="A54" s="364" t="s">
        <v>528</v>
      </c>
    </row>
    <row r="55" spans="1:6" s="364" customFormat="1" ht="11.25">
      <c r="A55" s="364" t="s">
        <v>529</v>
      </c>
    </row>
    <row r="56" spans="1:6" s="364" customFormat="1" ht="11.25">
      <c r="A56" s="364" t="s">
        <v>530</v>
      </c>
    </row>
    <row r="57" spans="1:6">
      <c r="A57" s="17"/>
      <c r="B57" s="102"/>
      <c r="C57" s="3"/>
      <c r="D57" s="3"/>
      <c r="F57" s="3"/>
    </row>
    <row r="58" spans="1:6">
      <c r="A58" s="17"/>
      <c r="B58" s="102"/>
      <c r="C58" s="3"/>
      <c r="D58" s="3"/>
      <c r="F58" s="3"/>
    </row>
    <row r="59" spans="1:6">
      <c r="A59" s="17"/>
      <c r="B59" s="102"/>
      <c r="C59" s="3"/>
      <c r="D59" s="3"/>
      <c r="F59" s="3"/>
    </row>
    <row r="60" spans="1:6">
      <c r="A60" s="61"/>
      <c r="B60" s="102"/>
      <c r="C60" s="3"/>
      <c r="D60" s="3"/>
      <c r="F60" s="3"/>
    </row>
    <row r="61" spans="1:6">
      <c r="A61" s="17"/>
      <c r="B61" s="102"/>
      <c r="C61" s="3"/>
      <c r="D61" s="3"/>
      <c r="F61" s="3"/>
    </row>
  </sheetData>
  <phoneticPr fontId="0" type="noConversion"/>
  <printOptions horizontalCentered="1" verticalCentered="1" gridLines="1" gridLinesSet="0"/>
  <pageMargins left="0.5" right="0.5" top="0.63" bottom="0.5" header="0.24" footer="0.5"/>
  <pageSetup scale="79" orientation="landscape" r:id="rId1"/>
  <headerFooter alignWithMargins="0">
    <oddHeader>&amp;C&amp;"Arial,Bold"&amp;12PAST ENERGY DATA 
1985-2007</oddHeader>
    <oddFooter>&amp;L&amp;8
&amp;A&amp;C&amp;"Arial,Bold" &amp;R&amp;8
June 2007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>
  <sheetPr codeName="Sheet18"/>
  <dimension ref="A1:J53"/>
  <sheetViews>
    <sheetView tabSelected="1" workbookViewId="0">
      <selection activeCell="I31" sqref="I31"/>
    </sheetView>
  </sheetViews>
  <sheetFormatPr defaultColWidth="9.140625" defaultRowHeight="12.75"/>
  <cols>
    <col min="1" max="1" width="12.5703125" style="163" customWidth="1"/>
    <col min="2" max="2" width="15.140625" style="163" customWidth="1"/>
    <col min="3" max="3" width="14.7109375" style="163" customWidth="1"/>
    <col min="4" max="4" width="14.85546875" style="163" customWidth="1"/>
    <col min="5" max="5" width="14.7109375" style="163" customWidth="1"/>
    <col min="6" max="6" width="9.5703125" style="163" bestFit="1" customWidth="1"/>
    <col min="7" max="7" width="17.28515625" style="163" customWidth="1"/>
    <col min="8" max="9" width="15.7109375" style="163" customWidth="1"/>
    <col min="10" max="16384" width="9.140625" style="163"/>
  </cols>
  <sheetData>
    <row r="1" spans="1:10">
      <c r="A1" s="160" t="s">
        <v>121</v>
      </c>
      <c r="B1" s="161"/>
      <c r="C1" s="161"/>
      <c r="D1" s="161"/>
      <c r="E1" s="161"/>
      <c r="F1" s="161"/>
      <c r="G1" s="161"/>
      <c r="H1" s="161"/>
      <c r="I1" s="162"/>
    </row>
    <row r="2" spans="1:10">
      <c r="A2" s="164" t="s">
        <v>226</v>
      </c>
      <c r="B2" s="165"/>
      <c r="C2" s="165"/>
      <c r="D2" s="165"/>
      <c r="E2" s="165"/>
      <c r="F2" s="165"/>
      <c r="G2" s="165"/>
      <c r="H2" s="165"/>
      <c r="I2" s="166"/>
    </row>
    <row r="3" spans="1:10">
      <c r="A3" s="164" t="s">
        <v>517</v>
      </c>
      <c r="B3" s="165"/>
      <c r="C3" s="165"/>
      <c r="D3" s="165"/>
      <c r="E3" s="165"/>
      <c r="F3" s="165"/>
      <c r="G3" s="165"/>
      <c r="H3" s="165"/>
      <c r="I3" s="166"/>
    </row>
    <row r="4" spans="1:10">
      <c r="A4" s="167"/>
      <c r="B4" s="375"/>
      <c r="C4" s="375"/>
      <c r="D4" s="168"/>
      <c r="E4" s="168"/>
      <c r="F4" s="168"/>
      <c r="G4" s="168"/>
      <c r="H4" s="168"/>
      <c r="I4" s="169"/>
    </row>
    <row r="5" spans="1:10" ht="13.5" thickBot="1">
      <c r="A5" s="167"/>
      <c r="B5" s="375"/>
      <c r="C5" s="375"/>
      <c r="D5" s="168"/>
      <c r="E5" s="168"/>
      <c r="F5" s="168"/>
      <c r="G5" s="168"/>
      <c r="H5" s="168"/>
      <c r="I5" s="169"/>
    </row>
    <row r="6" spans="1:10" s="172" customFormat="1" ht="13.5" thickBot="1">
      <c r="A6" s="170" t="s">
        <v>122</v>
      </c>
      <c r="B6" s="171" t="s">
        <v>515</v>
      </c>
      <c r="C6" s="171" t="s">
        <v>515</v>
      </c>
      <c r="D6" s="369" t="s">
        <v>406</v>
      </c>
      <c r="E6" s="369" t="s">
        <v>406</v>
      </c>
      <c r="F6" s="379" t="s">
        <v>396</v>
      </c>
      <c r="G6" s="379" t="s">
        <v>396</v>
      </c>
      <c r="H6" s="363"/>
      <c r="I6" s="365"/>
    </row>
    <row r="7" spans="1:10" s="172" customFormat="1">
      <c r="A7" s="173"/>
      <c r="B7" s="370" t="s">
        <v>400</v>
      </c>
      <c r="C7" s="174" t="s">
        <v>400</v>
      </c>
      <c r="D7" s="416" t="s">
        <v>516</v>
      </c>
      <c r="E7" s="416" t="s">
        <v>516</v>
      </c>
      <c r="F7" s="416"/>
      <c r="G7" s="416"/>
      <c r="H7" s="171" t="s">
        <v>515</v>
      </c>
      <c r="I7" s="171" t="s">
        <v>515</v>
      </c>
    </row>
    <row r="8" spans="1:10" s="172" customFormat="1">
      <c r="A8" s="173" t="s">
        <v>123</v>
      </c>
      <c r="B8" s="174" t="s">
        <v>401</v>
      </c>
      <c r="C8" s="174" t="s">
        <v>402</v>
      </c>
      <c r="D8" s="174" t="s">
        <v>404</v>
      </c>
      <c r="E8" s="174" t="s">
        <v>407</v>
      </c>
      <c r="F8" s="380" t="s">
        <v>408</v>
      </c>
      <c r="G8" s="380" t="s">
        <v>407</v>
      </c>
      <c r="H8" s="174" t="s">
        <v>30</v>
      </c>
      <c r="I8" s="175" t="s">
        <v>30</v>
      </c>
    </row>
    <row r="9" spans="1:10" ht="13.5" thickBot="1">
      <c r="A9" s="173" t="s">
        <v>125</v>
      </c>
      <c r="B9" s="174" t="s">
        <v>127</v>
      </c>
      <c r="C9" s="174" t="s">
        <v>403</v>
      </c>
      <c r="D9" s="174" t="s">
        <v>405</v>
      </c>
      <c r="E9" s="174" t="s">
        <v>403</v>
      </c>
      <c r="F9" s="381" t="s">
        <v>405</v>
      </c>
      <c r="G9" s="381" t="s">
        <v>403</v>
      </c>
      <c r="H9" s="174" t="s">
        <v>124</v>
      </c>
      <c r="I9" s="371" t="s">
        <v>126</v>
      </c>
    </row>
    <row r="10" spans="1:10" ht="13.5" thickTop="1">
      <c r="A10" s="350"/>
      <c r="B10" s="351"/>
      <c r="C10" s="351"/>
      <c r="D10" s="351"/>
      <c r="E10" s="388"/>
      <c r="F10" s="382"/>
      <c r="G10" s="384"/>
      <c r="H10" s="351"/>
      <c r="I10" s="392"/>
    </row>
    <row r="11" spans="1:10">
      <c r="A11" s="179" t="s">
        <v>315</v>
      </c>
      <c r="B11" s="178"/>
      <c r="C11" s="180"/>
      <c r="D11" s="372"/>
      <c r="E11" s="389"/>
      <c r="F11" s="382"/>
      <c r="G11" s="385"/>
      <c r="H11" s="178"/>
      <c r="I11" s="393"/>
    </row>
    <row r="12" spans="1:10">
      <c r="A12" s="373" t="s">
        <v>397</v>
      </c>
      <c r="B12" s="418">
        <v>800000000</v>
      </c>
      <c r="C12" s="419">
        <v>424000</v>
      </c>
      <c r="D12" s="178">
        <v>0</v>
      </c>
      <c r="E12" s="389">
        <v>0</v>
      </c>
      <c r="F12" s="382"/>
      <c r="G12" s="385"/>
      <c r="H12" s="418">
        <v>77910</v>
      </c>
      <c r="I12" s="393">
        <v>351968</v>
      </c>
    </row>
    <row r="13" spans="1:10">
      <c r="A13" s="373" t="s">
        <v>398</v>
      </c>
      <c r="B13" s="418">
        <v>124000000</v>
      </c>
      <c r="C13" s="419">
        <v>106250</v>
      </c>
      <c r="D13" s="178"/>
      <c r="E13" s="389"/>
      <c r="F13" s="382"/>
      <c r="G13" s="385"/>
      <c r="I13" s="393"/>
    </row>
    <row r="14" spans="1:10">
      <c r="A14" s="179"/>
      <c r="B14" s="418"/>
      <c r="C14" s="419"/>
      <c r="D14" s="178"/>
      <c r="E14" s="389"/>
      <c r="F14" s="382"/>
      <c r="G14" s="385"/>
      <c r="H14" s="178"/>
      <c r="I14" s="393"/>
    </row>
    <row r="15" spans="1:10">
      <c r="A15" s="179" t="s">
        <v>128</v>
      </c>
      <c r="B15" s="418"/>
      <c r="C15" s="419"/>
      <c r="D15" s="178"/>
      <c r="E15" s="389"/>
      <c r="F15" s="382"/>
      <c r="G15" s="385"/>
      <c r="H15" s="178"/>
      <c r="I15" s="393"/>
      <c r="J15" s="191"/>
    </row>
    <row r="16" spans="1:10">
      <c r="A16" s="181" t="s">
        <v>129</v>
      </c>
      <c r="B16" s="418"/>
      <c r="C16" s="419"/>
      <c r="D16" s="178">
        <v>0</v>
      </c>
      <c r="E16" s="389">
        <v>0</v>
      </c>
      <c r="F16" s="382"/>
      <c r="G16" s="385"/>
      <c r="H16" s="418">
        <v>29332</v>
      </c>
      <c r="I16" s="393">
        <v>41841</v>
      </c>
    </row>
    <row r="17" spans="1:10">
      <c r="A17" s="179" t="s">
        <v>130</v>
      </c>
      <c r="B17" s="418"/>
      <c r="C17" s="419"/>
      <c r="D17" s="108">
        <v>0</v>
      </c>
      <c r="E17" s="390">
        <v>0</v>
      </c>
      <c r="F17" s="382"/>
      <c r="G17" s="385"/>
      <c r="H17" s="178"/>
      <c r="I17" s="393"/>
    </row>
    <row r="18" spans="1:10">
      <c r="A18" s="179"/>
      <c r="B18" s="418"/>
      <c r="C18" s="419"/>
      <c r="D18" s="278"/>
      <c r="E18" s="390"/>
      <c r="F18" s="382"/>
      <c r="G18" s="385"/>
      <c r="H18" s="178"/>
      <c r="I18" s="393"/>
    </row>
    <row r="19" spans="1:10">
      <c r="A19" s="179" t="s">
        <v>131</v>
      </c>
      <c r="B19" s="418">
        <f>SUM(B10:B18)</f>
        <v>924000000</v>
      </c>
      <c r="C19" s="419">
        <f>SUM(C10:C18)</f>
        <v>530250</v>
      </c>
      <c r="D19" s="271">
        <f>(D12*1000)+(D16*150000)</f>
        <v>0</v>
      </c>
      <c r="E19" s="390">
        <f>(E11+E16)</f>
        <v>0</v>
      </c>
      <c r="F19" s="382"/>
      <c r="G19" s="385">
        <f>SUM(F19*0.7/100)</f>
        <v>0</v>
      </c>
      <c r="H19" s="377">
        <v>823098000</v>
      </c>
      <c r="I19" s="393">
        <f>SUM(I12+I16)</f>
        <v>393809</v>
      </c>
    </row>
    <row r="20" spans="1:10">
      <c r="A20" s="179" t="s">
        <v>132</v>
      </c>
      <c r="B20" s="418"/>
      <c r="C20" s="419"/>
      <c r="D20" s="178"/>
      <c r="E20" s="389"/>
      <c r="F20" s="382"/>
      <c r="G20" s="385"/>
      <c r="H20" s="178"/>
      <c r="I20" s="393"/>
    </row>
    <row r="21" spans="1:10">
      <c r="A21" s="179"/>
      <c r="B21" s="418"/>
      <c r="C21" s="419"/>
      <c r="D21" s="178"/>
      <c r="E21" s="389"/>
      <c r="F21" s="382"/>
      <c r="G21" s="385"/>
      <c r="H21" s="178"/>
      <c r="I21" s="393"/>
    </row>
    <row r="22" spans="1:10">
      <c r="A22" s="179"/>
      <c r="B22" s="420"/>
      <c r="C22" s="420"/>
      <c r="D22" s="178"/>
      <c r="E22" s="389"/>
      <c r="F22" s="382"/>
      <c r="G22" s="385"/>
      <c r="H22" s="178"/>
      <c r="I22" s="393"/>
    </row>
    <row r="23" spans="1:10">
      <c r="A23" s="179" t="s">
        <v>133</v>
      </c>
      <c r="B23" s="418"/>
      <c r="C23" s="419"/>
      <c r="D23" s="374"/>
      <c r="E23" s="385"/>
      <c r="F23" s="382"/>
      <c r="G23" s="385"/>
      <c r="H23" s="378"/>
      <c r="I23" s="394"/>
    </row>
    <row r="24" spans="1:10">
      <c r="A24" s="373" t="s">
        <v>399</v>
      </c>
      <c r="B24" s="418">
        <v>12000000</v>
      </c>
      <c r="C24" s="419">
        <v>996000</v>
      </c>
      <c r="D24" s="178">
        <v>0</v>
      </c>
      <c r="E24" s="389">
        <v>0</v>
      </c>
      <c r="F24" s="382"/>
      <c r="G24" s="385">
        <f>SUM(F24*0.08)</f>
        <v>0</v>
      </c>
      <c r="H24" s="377">
        <v>10934700</v>
      </c>
      <c r="I24" s="393">
        <v>859665</v>
      </c>
      <c r="J24" s="387"/>
    </row>
    <row r="25" spans="1:10">
      <c r="A25" s="373" t="s">
        <v>398</v>
      </c>
      <c r="B25" s="418">
        <v>600000</v>
      </c>
      <c r="C25" s="419">
        <v>72000</v>
      </c>
      <c r="D25" s="178"/>
      <c r="E25" s="389"/>
      <c r="F25" s="382"/>
      <c r="G25" s="385"/>
      <c r="H25" s="178">
        <v>981400</v>
      </c>
      <c r="I25" s="393">
        <v>120133</v>
      </c>
    </row>
    <row r="26" spans="1:10">
      <c r="A26" s="373" t="s">
        <v>456</v>
      </c>
      <c r="B26" s="418"/>
      <c r="C26" s="419">
        <v>0</v>
      </c>
      <c r="D26" s="178"/>
      <c r="E26" s="389"/>
      <c r="F26" s="382"/>
      <c r="G26" s="385"/>
      <c r="H26" s="178"/>
      <c r="I26" s="393"/>
    </row>
    <row r="27" spans="1:10">
      <c r="A27" s="373"/>
      <c r="B27" s="418"/>
      <c r="C27" s="419"/>
      <c r="D27" s="178"/>
      <c r="E27" s="389"/>
      <c r="F27" s="382"/>
      <c r="G27" s="385"/>
      <c r="H27" s="178"/>
      <c r="I27" s="393"/>
    </row>
    <row r="28" spans="1:10">
      <c r="A28" s="179" t="s">
        <v>455</v>
      </c>
      <c r="B28" s="418">
        <f>SUM(B22:B25)</f>
        <v>12600000</v>
      </c>
      <c r="C28" s="419">
        <f>SUM(C22:C27)</f>
        <v>1068000</v>
      </c>
      <c r="D28" s="178"/>
      <c r="E28" s="389"/>
      <c r="F28" s="382"/>
      <c r="G28" s="385"/>
      <c r="H28" s="178">
        <f>SUM(H24+H25)</f>
        <v>11916100</v>
      </c>
      <c r="I28" s="393">
        <f>SUM(I24+I25)</f>
        <v>979798</v>
      </c>
    </row>
    <row r="29" spans="1:10">
      <c r="A29" s="373"/>
      <c r="B29" s="418"/>
      <c r="C29" s="419"/>
      <c r="D29" s="178"/>
      <c r="E29" s="389"/>
      <c r="F29" s="382"/>
      <c r="G29" s="385"/>
      <c r="H29" s="178"/>
      <c r="I29" s="393"/>
    </row>
    <row r="30" spans="1:10">
      <c r="A30" s="177" t="s">
        <v>30</v>
      </c>
      <c r="B30" s="418"/>
      <c r="C30" s="419"/>
      <c r="D30" s="178"/>
      <c r="E30" s="389"/>
      <c r="F30" s="382"/>
      <c r="G30" s="385"/>
      <c r="H30" s="178"/>
      <c r="I30" s="393"/>
    </row>
    <row r="31" spans="1:10">
      <c r="A31" s="176" t="s">
        <v>134</v>
      </c>
      <c r="B31" s="421">
        <f>SUM((B23+B24)*3.412)+B19</f>
        <v>964944000</v>
      </c>
      <c r="C31" s="422">
        <f>(C19+C27)</f>
        <v>530250</v>
      </c>
      <c r="D31" s="182">
        <f>SUM(D24*3.412)+D19</f>
        <v>0</v>
      </c>
      <c r="E31" s="391">
        <f>SUM(E19+E24)</f>
        <v>0</v>
      </c>
      <c r="F31" s="383"/>
      <c r="G31" s="386"/>
      <c r="H31" s="182">
        <f>SUM(H28*3.412)+H19</f>
        <v>863755733.20000005</v>
      </c>
      <c r="I31" s="395">
        <f>(I19+I28)</f>
        <v>1373607</v>
      </c>
    </row>
    <row r="32" spans="1:10">
      <c r="A32" s="167"/>
      <c r="B32" s="375"/>
      <c r="C32" s="375"/>
      <c r="D32" s="183"/>
      <c r="E32" s="183"/>
      <c r="F32" s="183"/>
      <c r="G32" s="184"/>
      <c r="H32" s="184"/>
      <c r="I32" s="396"/>
    </row>
    <row r="33" spans="1:9">
      <c r="A33" s="167"/>
      <c r="B33" s="375"/>
      <c r="C33" s="375"/>
      <c r="D33" s="183"/>
      <c r="E33" s="183"/>
      <c r="F33" s="183"/>
      <c r="G33" s="184"/>
      <c r="H33" s="184"/>
      <c r="I33" s="396"/>
    </row>
    <row r="34" spans="1:9">
      <c r="A34" s="167"/>
      <c r="B34" s="375"/>
      <c r="C34" s="375"/>
      <c r="D34" s="183"/>
      <c r="E34" s="183"/>
      <c r="F34" s="183"/>
      <c r="G34" s="185" t="s">
        <v>212</v>
      </c>
      <c r="H34" s="186"/>
      <c r="I34" s="397"/>
    </row>
    <row r="35" spans="1:9" ht="13.5" thickBot="1">
      <c r="A35" s="167"/>
      <c r="B35" s="375"/>
      <c r="C35" s="375"/>
      <c r="D35" s="183"/>
      <c r="E35" s="183"/>
      <c r="F35" s="183"/>
      <c r="G35" s="184" t="s">
        <v>213</v>
      </c>
      <c r="H35" s="186"/>
      <c r="I35" s="398">
        <f>(C31-I31)</f>
        <v>-843357</v>
      </c>
    </row>
    <row r="36" spans="1:9" ht="13.5" thickTop="1">
      <c r="A36" s="167"/>
      <c r="B36" s="375"/>
      <c r="C36" s="375"/>
      <c r="D36" s="183"/>
      <c r="E36" s="183"/>
      <c r="F36" s="183"/>
      <c r="G36" s="184"/>
      <c r="H36" s="184"/>
      <c r="I36" s="399"/>
    </row>
    <row r="37" spans="1:9">
      <c r="A37" s="167"/>
      <c r="B37" s="375"/>
      <c r="C37" s="375"/>
      <c r="D37" s="183"/>
      <c r="E37" s="183"/>
      <c r="F37" s="183"/>
      <c r="G37" s="185" t="s">
        <v>214</v>
      </c>
      <c r="H37" s="186"/>
      <c r="I37" s="397"/>
    </row>
    <row r="38" spans="1:9">
      <c r="A38" s="167" t="s">
        <v>13</v>
      </c>
      <c r="B38" s="375"/>
      <c r="C38" s="375"/>
      <c r="D38" s="183"/>
      <c r="E38" s="183"/>
      <c r="F38" s="183" t="s">
        <v>13</v>
      </c>
      <c r="G38" s="184" t="s">
        <v>215</v>
      </c>
      <c r="H38" s="186"/>
      <c r="I38" s="400">
        <f>(H19)*(C19/B19)-(C19)</f>
        <v>-57903.988636363647</v>
      </c>
    </row>
    <row r="39" spans="1:9">
      <c r="A39" s="167" t="s">
        <v>13</v>
      </c>
      <c r="B39" s="375"/>
      <c r="C39" s="375"/>
      <c r="D39" s="183"/>
      <c r="E39" s="183"/>
      <c r="F39" s="183"/>
      <c r="G39" s="183"/>
      <c r="H39" s="186"/>
      <c r="I39" s="396"/>
    </row>
    <row r="40" spans="1:9">
      <c r="A40" s="167" t="s">
        <v>13</v>
      </c>
      <c r="B40" s="375"/>
      <c r="C40" s="375"/>
      <c r="D40" s="183"/>
      <c r="E40" s="183"/>
      <c r="F40" s="183"/>
      <c r="G40" s="183" t="s">
        <v>216</v>
      </c>
      <c r="H40" s="186"/>
      <c r="I40" s="400">
        <f>(I19)-(C19)-(I38)</f>
        <v>-78537.011363636353</v>
      </c>
    </row>
    <row r="41" spans="1:9">
      <c r="A41" s="167" t="s">
        <v>13</v>
      </c>
      <c r="B41" s="375"/>
      <c r="C41" s="375"/>
      <c r="D41" s="183"/>
      <c r="E41" s="183"/>
      <c r="F41" s="183"/>
      <c r="G41" s="183"/>
      <c r="H41" s="186"/>
      <c r="I41" s="396"/>
    </row>
    <row r="42" spans="1:9">
      <c r="A42" s="167" t="s">
        <v>13</v>
      </c>
      <c r="B42" s="375"/>
      <c r="C42" s="375"/>
      <c r="D42" s="183"/>
      <c r="E42" s="183"/>
      <c r="F42" s="183"/>
      <c r="G42" s="183" t="s">
        <v>217</v>
      </c>
      <c r="H42" s="186"/>
      <c r="I42" s="400">
        <f>(I38+I40)</f>
        <v>-136441</v>
      </c>
    </row>
    <row r="43" spans="1:9">
      <c r="A43" s="167" t="s">
        <v>13</v>
      </c>
      <c r="B43" s="375"/>
      <c r="C43" s="375"/>
      <c r="D43" s="183"/>
      <c r="E43" s="183"/>
      <c r="F43" s="183"/>
      <c r="G43" s="183"/>
      <c r="H43" s="183"/>
      <c r="I43" s="396"/>
    </row>
    <row r="44" spans="1:9">
      <c r="A44" s="167"/>
      <c r="B44" s="375"/>
      <c r="C44" s="375"/>
      <c r="D44" s="183"/>
      <c r="E44" s="183"/>
      <c r="F44" s="183"/>
      <c r="G44" s="187" t="s">
        <v>218</v>
      </c>
      <c r="H44" s="186"/>
      <c r="I44" s="397"/>
    </row>
    <row r="45" spans="1:9">
      <c r="A45" s="167"/>
      <c r="B45" s="375"/>
      <c r="C45" s="375"/>
      <c r="D45" s="183"/>
      <c r="E45" s="183"/>
      <c r="F45" s="183"/>
      <c r="G45" s="183" t="s">
        <v>215</v>
      </c>
      <c r="H45" s="186"/>
      <c r="I45" s="400">
        <f>(H24)*(C24/B24)-(C24)</f>
        <v>-88419.899999999907</v>
      </c>
    </row>
    <row r="46" spans="1:9">
      <c r="A46" s="167"/>
      <c r="B46" s="375"/>
      <c r="C46" s="375"/>
      <c r="D46" s="183"/>
      <c r="E46" s="183"/>
      <c r="F46" s="183"/>
      <c r="G46" s="183"/>
      <c r="H46" s="186"/>
      <c r="I46" s="396"/>
    </row>
    <row r="47" spans="1:9">
      <c r="A47" s="167"/>
      <c r="B47" s="375"/>
      <c r="C47" s="375"/>
      <c r="D47" s="183"/>
      <c r="E47" s="183"/>
      <c r="F47" s="183"/>
      <c r="G47" s="183" t="s">
        <v>216</v>
      </c>
      <c r="H47" s="186"/>
      <c r="I47" s="400">
        <f>(I24-C24)-(I45)</f>
        <v>-47915.100000000093</v>
      </c>
    </row>
    <row r="48" spans="1:9">
      <c r="A48" s="167"/>
      <c r="B48" s="375"/>
      <c r="C48" s="375"/>
      <c r="D48" s="183"/>
      <c r="E48" s="183"/>
      <c r="F48" s="183"/>
      <c r="G48" s="183"/>
      <c r="H48" s="186"/>
      <c r="I48" s="396"/>
    </row>
    <row r="49" spans="1:9">
      <c r="A49" s="167"/>
      <c r="B49" s="375"/>
      <c r="C49" s="375"/>
      <c r="D49" s="183"/>
      <c r="E49" s="183"/>
      <c r="F49" s="183"/>
      <c r="G49" s="183" t="s">
        <v>217</v>
      </c>
      <c r="H49" s="186"/>
      <c r="I49" s="400">
        <f>(I45+I47)</f>
        <v>-136335</v>
      </c>
    </row>
    <row r="50" spans="1:9">
      <c r="A50" s="167"/>
      <c r="B50" s="375"/>
      <c r="C50" s="375"/>
      <c r="D50" s="183"/>
      <c r="E50" s="183"/>
      <c r="F50" s="183"/>
      <c r="G50" s="183"/>
      <c r="H50" s="183"/>
      <c r="I50" s="396"/>
    </row>
    <row r="51" spans="1:9">
      <c r="A51" s="188"/>
      <c r="B51" s="376"/>
      <c r="C51" s="376"/>
      <c r="D51" s="189"/>
      <c r="E51" s="189"/>
      <c r="F51" s="189"/>
      <c r="G51" s="190" t="s">
        <v>219</v>
      </c>
      <c r="H51" s="183"/>
      <c r="I51" s="396"/>
    </row>
    <row r="52" spans="1:9" ht="13.5" thickBot="1">
      <c r="A52" s="191"/>
      <c r="B52" s="186"/>
      <c r="C52" s="186"/>
      <c r="D52" s="186"/>
      <c r="E52" s="186"/>
      <c r="F52" s="186"/>
      <c r="G52" s="183" t="s">
        <v>220</v>
      </c>
      <c r="H52" s="186"/>
      <c r="I52" s="398">
        <f>(I42+I49)</f>
        <v>-272776</v>
      </c>
    </row>
    <row r="53" spans="1:9" ht="14.25" thickTop="1" thickBot="1">
      <c r="A53" s="192"/>
      <c r="B53" s="193"/>
      <c r="C53" s="193"/>
      <c r="D53" s="193"/>
      <c r="E53" s="193"/>
      <c r="F53" s="193"/>
      <c r="G53" s="193"/>
      <c r="H53" s="193"/>
      <c r="I53" s="401"/>
    </row>
  </sheetData>
  <phoneticPr fontId="51" type="noConversion"/>
  <pageMargins left="0.49" right="0.25" top="1" bottom="1" header="0.5" footer="0.5"/>
  <pageSetup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sheetPr codeName="Sheet20">
    <pageSetUpPr fitToPage="1"/>
  </sheetPr>
  <dimension ref="A7:M57"/>
  <sheetViews>
    <sheetView view="pageBreakPreview" topLeftCell="A7" zoomScaleNormal="100" workbookViewId="0">
      <pane ySplit="2" topLeftCell="A9" activePane="bottomLeft" state="frozen"/>
      <selection activeCell="A7" sqref="A7"/>
      <selection pane="bottomLeft" activeCell="L34" sqref="L34"/>
    </sheetView>
  </sheetViews>
  <sheetFormatPr defaultRowHeight="12.75"/>
  <cols>
    <col min="1" max="1" width="8.140625" customWidth="1"/>
    <col min="2" max="2" width="17.7109375" style="70" bestFit="1" customWidth="1"/>
    <col min="3" max="3" width="11.85546875" style="79" customWidth="1"/>
    <col min="4" max="4" width="11.42578125" style="159" bestFit="1" customWidth="1"/>
    <col min="5" max="5" width="11.42578125" bestFit="1" customWidth="1"/>
    <col min="6" max="6" width="10.7109375" bestFit="1" customWidth="1"/>
    <col min="7" max="7" width="10.140625" bestFit="1" customWidth="1"/>
    <col min="8" max="8" width="6.140625" bestFit="1" customWidth="1"/>
    <col min="9" max="9" width="9.7109375" bestFit="1" customWidth="1"/>
    <col min="11" max="11" width="10.7109375" bestFit="1" customWidth="1"/>
    <col min="12" max="12" width="10.42578125" bestFit="1" customWidth="1"/>
    <col min="13" max="13" width="9.28515625" bestFit="1" customWidth="1"/>
  </cols>
  <sheetData>
    <row r="7" spans="1:13" ht="15">
      <c r="A7" s="59" t="s">
        <v>29</v>
      </c>
      <c r="B7" s="155" t="s">
        <v>97</v>
      </c>
      <c r="C7" s="63" t="s">
        <v>98</v>
      </c>
      <c r="D7" s="80" t="s">
        <v>94</v>
      </c>
      <c r="E7" s="65" t="s">
        <v>39</v>
      </c>
      <c r="F7" s="63" t="s">
        <v>99</v>
      </c>
      <c r="G7" s="65" t="s">
        <v>100</v>
      </c>
      <c r="H7" s="65" t="s">
        <v>39</v>
      </c>
      <c r="I7" s="65" t="s">
        <v>101</v>
      </c>
      <c r="J7" s="65" t="s">
        <v>102</v>
      </c>
      <c r="K7" s="65" t="s">
        <v>102</v>
      </c>
      <c r="L7" s="65" t="s">
        <v>103</v>
      </c>
      <c r="M7" s="65" t="s">
        <v>104</v>
      </c>
    </row>
    <row r="8" spans="1:13" ht="15.75" thickBot="1">
      <c r="A8" s="60" t="s">
        <v>13</v>
      </c>
      <c r="B8" s="156" t="s">
        <v>135</v>
      </c>
      <c r="C8" s="64" t="s">
        <v>106</v>
      </c>
      <c r="D8" s="66" t="s">
        <v>39</v>
      </c>
      <c r="E8" s="67" t="s">
        <v>107</v>
      </c>
      <c r="F8" s="64" t="s">
        <v>98</v>
      </c>
      <c r="G8" s="66" t="s">
        <v>39</v>
      </c>
      <c r="H8" s="68" t="s">
        <v>107</v>
      </c>
      <c r="I8" s="45" t="s">
        <v>108</v>
      </c>
      <c r="J8" s="45" t="s">
        <v>109</v>
      </c>
      <c r="K8" s="45" t="s">
        <v>39</v>
      </c>
      <c r="L8" s="25" t="s">
        <v>383</v>
      </c>
      <c r="M8" s="45" t="s">
        <v>110</v>
      </c>
    </row>
    <row r="9" spans="1:13">
      <c r="A9" s="430" t="s">
        <v>144</v>
      </c>
      <c r="B9" s="157">
        <v>7795</v>
      </c>
      <c r="C9" s="71">
        <v>98739</v>
      </c>
      <c r="D9" s="72">
        <v>251671</v>
      </c>
      <c r="E9" s="73">
        <f t="shared" ref="E9:E21" si="0">(D9/C9)/10</f>
        <v>0.25488510112518858</v>
      </c>
      <c r="F9" s="71">
        <v>10459200</v>
      </c>
      <c r="G9" s="72">
        <v>463053</v>
      </c>
      <c r="H9" s="74">
        <f>(G9/F9)</f>
        <v>4.4272315282239558E-2</v>
      </c>
      <c r="I9" s="71">
        <v>944865</v>
      </c>
      <c r="J9" s="71">
        <f>(+F9*3412/1000000)+C9</f>
        <v>134425.7904</v>
      </c>
      <c r="K9" s="72">
        <f>(G9+D9)</f>
        <v>714724</v>
      </c>
      <c r="L9" s="71">
        <f>(J9*1000000)/I9</f>
        <v>142269.83791335271</v>
      </c>
      <c r="M9" s="75">
        <f>(K9/J9)</f>
        <v>5.3168666360320689</v>
      </c>
    </row>
    <row r="10" spans="1:13">
      <c r="A10" s="431" t="s">
        <v>117</v>
      </c>
      <c r="B10" s="102">
        <v>7915</v>
      </c>
      <c r="C10" s="3">
        <v>92268</v>
      </c>
      <c r="D10" s="55">
        <v>159770</v>
      </c>
      <c r="E10" s="56">
        <f t="shared" si="0"/>
        <v>0.17315862487536307</v>
      </c>
      <c r="F10" s="3">
        <v>10699200</v>
      </c>
      <c r="G10" s="55">
        <v>473973</v>
      </c>
      <c r="H10" s="57">
        <f>(G10/F10)</f>
        <v>4.4299854194706147E-2</v>
      </c>
      <c r="I10" s="3">
        <v>944865</v>
      </c>
      <c r="J10" s="3">
        <f>(+F10*3412/1000000)+C10</f>
        <v>128773.6704</v>
      </c>
      <c r="K10" s="55">
        <f>(G10+D10)</f>
        <v>633743</v>
      </c>
      <c r="L10" s="3">
        <f>(J10*1000000)/I10</f>
        <v>136287.90398628375</v>
      </c>
      <c r="M10" s="58">
        <f>(K10/J10)</f>
        <v>4.9213709450965526</v>
      </c>
    </row>
    <row r="11" spans="1:13">
      <c r="A11" s="432" t="s">
        <v>145</v>
      </c>
      <c r="B11" s="102">
        <v>7296</v>
      </c>
      <c r="C11" s="3">
        <v>95977</v>
      </c>
      <c r="D11" s="55">
        <v>165834.46</v>
      </c>
      <c r="E11" s="56">
        <f t="shared" si="0"/>
        <v>0.17278562572282943</v>
      </c>
      <c r="F11" s="3">
        <v>10420800</v>
      </c>
      <c r="G11" s="55">
        <v>480192</v>
      </c>
      <c r="H11" s="57">
        <v>4.3999999999999997E-2</v>
      </c>
      <c r="I11" s="3">
        <v>966865</v>
      </c>
      <c r="J11" s="3">
        <f>(+F11*3412/1000000)+C11</f>
        <v>131532.7696</v>
      </c>
      <c r="K11" s="55">
        <f>(G11+D11)</f>
        <v>646026.46</v>
      </c>
      <c r="L11" s="3">
        <f>(J11*1000000)/I11</f>
        <v>136040.47059310245</v>
      </c>
      <c r="M11" s="58">
        <f>(K11/J11)</f>
        <v>4.911524800736804</v>
      </c>
    </row>
    <row r="12" spans="1:13">
      <c r="A12" s="432" t="s">
        <v>146</v>
      </c>
      <c r="B12" s="102">
        <v>7098</v>
      </c>
      <c r="C12" s="3">
        <v>85173</v>
      </c>
      <c r="D12" s="55">
        <v>212107.05</v>
      </c>
      <c r="E12" s="56">
        <f t="shared" si="0"/>
        <v>0.24903085484836743</v>
      </c>
      <c r="F12" s="3">
        <v>10384173</v>
      </c>
      <c r="G12" s="55">
        <v>487721.55</v>
      </c>
      <c r="H12" s="57">
        <f>(G12/F12)</f>
        <v>4.6967779716304801E-2</v>
      </c>
      <c r="I12" s="3">
        <v>972865</v>
      </c>
      <c r="J12" s="3">
        <f>(+F12*3412/1000000)+C12</f>
        <v>120603.798276</v>
      </c>
      <c r="K12" s="55">
        <f>(G12+D12)</f>
        <v>699828.6</v>
      </c>
      <c r="L12" s="3">
        <f>(J12*1000000)/I12</f>
        <v>123967.66075046384</v>
      </c>
      <c r="M12" s="58">
        <f>(K12/J12)</f>
        <v>5.8027077919921943</v>
      </c>
    </row>
    <row r="13" spans="1:13">
      <c r="A13" s="431" t="s">
        <v>87</v>
      </c>
      <c r="B13" s="102">
        <v>6139</v>
      </c>
      <c r="C13" s="3">
        <v>77444</v>
      </c>
      <c r="D13" s="55">
        <v>155666.62</v>
      </c>
      <c r="E13" s="56">
        <f t="shared" si="0"/>
        <v>0.2010053974484789</v>
      </c>
      <c r="F13" s="3">
        <v>10454200</v>
      </c>
      <c r="G13" s="55">
        <v>509883.07</v>
      </c>
      <c r="H13" s="57">
        <f>(G13/F13)</f>
        <v>4.8773035717701974E-2</v>
      </c>
      <c r="I13" s="3">
        <v>972865</v>
      </c>
      <c r="J13" s="3">
        <v>113140</v>
      </c>
      <c r="K13" s="55">
        <v>665550</v>
      </c>
      <c r="L13" s="3">
        <f>(J13*1000000)/I13</f>
        <v>116295.683368196</v>
      </c>
      <c r="M13" s="58">
        <f>(K13/J13)</f>
        <v>5.8825349124977899</v>
      </c>
    </row>
    <row r="14" spans="1:13">
      <c r="A14" s="432" t="s">
        <v>88</v>
      </c>
      <c r="B14" s="102">
        <v>7921</v>
      </c>
      <c r="C14" s="3">
        <v>91589</v>
      </c>
      <c r="D14" s="55">
        <v>211776</v>
      </c>
      <c r="E14" s="56">
        <f t="shared" si="0"/>
        <v>0.23122427365731696</v>
      </c>
      <c r="F14" s="3">
        <v>10836825</v>
      </c>
      <c r="G14" s="55">
        <v>531950.66</v>
      </c>
      <c r="H14" s="57">
        <v>4.9000000000000002E-2</v>
      </c>
      <c r="I14" s="3">
        <v>972865</v>
      </c>
      <c r="J14" s="3">
        <v>128564</v>
      </c>
      <c r="K14" s="55">
        <v>743726</v>
      </c>
      <c r="L14" s="3">
        <v>132149</v>
      </c>
      <c r="M14" s="58">
        <v>5.7849000000000004</v>
      </c>
    </row>
    <row r="15" spans="1:13">
      <c r="A15" s="432" t="s">
        <v>89</v>
      </c>
      <c r="B15" s="102">
        <v>7297</v>
      </c>
      <c r="C15" s="3">
        <v>99991</v>
      </c>
      <c r="D15" s="55">
        <v>293146.26</v>
      </c>
      <c r="E15" s="56">
        <f t="shared" si="0"/>
        <v>0.29317264553809841</v>
      </c>
      <c r="F15" s="3">
        <v>11983679</v>
      </c>
      <c r="G15" s="55">
        <v>559179.31000000006</v>
      </c>
      <c r="H15" s="57">
        <v>4.9000000000000002E-2</v>
      </c>
      <c r="I15" s="3">
        <v>1018615</v>
      </c>
      <c r="J15" s="3">
        <v>140880</v>
      </c>
      <c r="K15" s="55">
        <v>852325.57</v>
      </c>
      <c r="L15" s="3">
        <v>139404</v>
      </c>
      <c r="M15" s="58">
        <v>5.8647</v>
      </c>
    </row>
    <row r="16" spans="1:13">
      <c r="A16" s="433" t="s">
        <v>90</v>
      </c>
      <c r="B16" s="102">
        <v>6589</v>
      </c>
      <c r="C16" s="3">
        <v>82412</v>
      </c>
      <c r="D16" s="55">
        <v>223641.54</v>
      </c>
      <c r="E16" s="56">
        <f t="shared" si="0"/>
        <v>0.27137011600252392</v>
      </c>
      <c r="F16" s="3">
        <v>12782400</v>
      </c>
      <c r="G16" s="55">
        <v>613894</v>
      </c>
      <c r="H16" s="57">
        <v>4.8000000000000001E-2</v>
      </c>
      <c r="I16" s="3">
        <v>1056615</v>
      </c>
      <c r="J16" s="3">
        <v>120632</v>
      </c>
      <c r="K16" s="55">
        <f t="shared" ref="K16:K21" si="1">(G16+D16)</f>
        <v>837535.54</v>
      </c>
      <c r="L16" s="3">
        <f t="shared" ref="L16:L21" si="2">(J16*1000000)/I16</f>
        <v>114168.35838976354</v>
      </c>
      <c r="M16" s="58">
        <f t="shared" ref="M16:M21" si="3">(K16/J16)</f>
        <v>6.9428969096093907</v>
      </c>
    </row>
    <row r="17" spans="1:13">
      <c r="A17" s="431" t="s">
        <v>91</v>
      </c>
      <c r="B17" s="102">
        <v>6806</v>
      </c>
      <c r="C17" s="81">
        <v>86670</v>
      </c>
      <c r="D17" s="55">
        <v>199452</v>
      </c>
      <c r="E17" s="56">
        <f t="shared" si="0"/>
        <v>0.23012807199723087</v>
      </c>
      <c r="F17" s="3">
        <v>12972000</v>
      </c>
      <c r="G17" s="55">
        <v>626697</v>
      </c>
      <c r="H17" s="57">
        <v>4.8000000000000001E-2</v>
      </c>
      <c r="I17" s="3">
        <v>1056615</v>
      </c>
      <c r="J17" s="3">
        <v>131330</v>
      </c>
      <c r="K17" s="55">
        <f t="shared" si="1"/>
        <v>826149</v>
      </c>
      <c r="L17" s="3">
        <f t="shared" si="2"/>
        <v>124293.14367106277</v>
      </c>
      <c r="M17" s="58">
        <f t="shared" si="3"/>
        <v>6.2906342800578692</v>
      </c>
    </row>
    <row r="18" spans="1:13">
      <c r="A18" s="432" t="s">
        <v>143</v>
      </c>
      <c r="B18" s="102">
        <v>6698</v>
      </c>
      <c r="C18" s="69">
        <v>77025</v>
      </c>
      <c r="D18" s="55">
        <v>221699</v>
      </c>
      <c r="E18" s="56">
        <f t="shared" si="0"/>
        <v>0.28782732878935413</v>
      </c>
      <c r="F18" s="3">
        <v>12117600</v>
      </c>
      <c r="G18" s="55">
        <v>621699</v>
      </c>
      <c r="H18" s="57">
        <f>(G18/F18)</f>
        <v>5.1305456526044763E-2</v>
      </c>
      <c r="I18" s="3">
        <v>1053903</v>
      </c>
      <c r="J18" s="3">
        <v>118370</v>
      </c>
      <c r="K18" s="55">
        <f t="shared" si="1"/>
        <v>843398</v>
      </c>
      <c r="L18" s="3">
        <f t="shared" si="2"/>
        <v>112315.83931348521</v>
      </c>
      <c r="M18" s="58">
        <f t="shared" si="3"/>
        <v>7.1250992650164742</v>
      </c>
    </row>
    <row r="19" spans="1:13">
      <c r="A19" s="367" t="s">
        <v>167</v>
      </c>
      <c r="B19" s="102">
        <v>7959</v>
      </c>
      <c r="C19" s="69">
        <v>94701</v>
      </c>
      <c r="D19" s="55">
        <v>506962</v>
      </c>
      <c r="E19" s="56">
        <f t="shared" si="0"/>
        <v>0.53532908839399795</v>
      </c>
      <c r="F19" s="3">
        <v>11611968</v>
      </c>
      <c r="G19" s="55">
        <v>567550.06999999995</v>
      </c>
      <c r="H19" s="57">
        <f>(G19/F19)</f>
        <v>4.8876303310515491E-2</v>
      </c>
      <c r="I19" s="3">
        <v>1149717</v>
      </c>
      <c r="J19" s="3">
        <f t="shared" ref="J19:J31" si="4">(+F19*3412/1000000)+C19</f>
        <v>134321.034816</v>
      </c>
      <c r="K19" s="55">
        <f t="shared" si="1"/>
        <v>1074512.0699999998</v>
      </c>
      <c r="L19" s="3">
        <f t="shared" si="2"/>
        <v>116829.65009302289</v>
      </c>
      <c r="M19" s="58">
        <f t="shared" si="3"/>
        <v>7.9995815359219264</v>
      </c>
    </row>
    <row r="20" spans="1:13">
      <c r="A20" s="367" t="s">
        <v>168</v>
      </c>
      <c r="B20" s="102">
        <v>6681</v>
      </c>
      <c r="C20" s="69">
        <v>85416</v>
      </c>
      <c r="D20" s="55">
        <v>326532</v>
      </c>
      <c r="E20" s="56">
        <f t="shared" si="0"/>
        <v>0.38228434953638663</v>
      </c>
      <c r="F20" s="3">
        <v>12739200</v>
      </c>
      <c r="G20" s="55">
        <v>640022.43000000005</v>
      </c>
      <c r="H20" s="57">
        <f>(G20/F20)</f>
        <v>5.0240394216277323E-2</v>
      </c>
      <c r="I20" s="3">
        <v>1187717</v>
      </c>
      <c r="J20" s="3">
        <f t="shared" si="4"/>
        <v>128882.1504</v>
      </c>
      <c r="K20" s="55">
        <f t="shared" si="1"/>
        <v>966554.43</v>
      </c>
      <c r="L20" s="3">
        <f t="shared" si="2"/>
        <v>108512.50794591641</v>
      </c>
      <c r="M20" s="58">
        <f t="shared" si="3"/>
        <v>7.4995212835927356</v>
      </c>
    </row>
    <row r="21" spans="1:13">
      <c r="A21" s="367" t="s">
        <v>211</v>
      </c>
      <c r="B21" s="102">
        <v>7787</v>
      </c>
      <c r="C21" s="69">
        <v>91334</v>
      </c>
      <c r="D21" s="55">
        <v>432449.78</v>
      </c>
      <c r="E21" s="56">
        <f t="shared" si="0"/>
        <v>0.47348170451310578</v>
      </c>
      <c r="F21" s="3">
        <v>13257600</v>
      </c>
      <c r="G21" s="55">
        <v>637913.79</v>
      </c>
      <c r="H21" s="57">
        <f>(G21/F21)</f>
        <v>4.8116837889210722E-2</v>
      </c>
      <c r="I21" s="3">
        <v>1187717</v>
      </c>
      <c r="J21" s="3">
        <f t="shared" si="4"/>
        <v>136568.93119999999</v>
      </c>
      <c r="K21" s="55">
        <f t="shared" si="1"/>
        <v>1070363.57</v>
      </c>
      <c r="L21" s="3">
        <f t="shared" si="2"/>
        <v>114984.40386051558</v>
      </c>
      <c r="M21" s="58">
        <f t="shared" si="3"/>
        <v>7.83753347554938</v>
      </c>
    </row>
    <row r="22" spans="1:13">
      <c r="A22" s="367" t="s">
        <v>285</v>
      </c>
      <c r="B22" s="102">
        <v>7433</v>
      </c>
      <c r="C22" s="69">
        <v>89501</v>
      </c>
      <c r="D22" s="55">
        <v>423755.16</v>
      </c>
      <c r="E22" s="56">
        <f t="shared" ref="E22:E31" si="5">(D22/C22)/10</f>
        <v>0.47346416241159311</v>
      </c>
      <c r="F22" s="3">
        <v>12969600</v>
      </c>
      <c r="G22" s="55">
        <v>639256.43999999994</v>
      </c>
      <c r="H22" s="57">
        <f>(G22/F22)</f>
        <v>4.9288832346410065E-2</v>
      </c>
      <c r="I22" s="3">
        <v>1187717</v>
      </c>
      <c r="J22" s="3">
        <f t="shared" si="4"/>
        <v>133753.2752</v>
      </c>
      <c r="K22" s="55">
        <f t="shared" ref="K22:K31" si="6">(G22+D22)</f>
        <v>1063011.5999999999</v>
      </c>
      <c r="L22" s="3">
        <f t="shared" ref="L22:L31" si="7">(J22*1000000)/I22</f>
        <v>112613.75832795186</v>
      </c>
      <c r="M22" s="58">
        <f t="shared" ref="M22:M31" si="8">(K22/J22)</f>
        <v>7.9475556647901797</v>
      </c>
    </row>
    <row r="23" spans="1:13">
      <c r="A23" s="367" t="s">
        <v>307</v>
      </c>
      <c r="B23" s="320">
        <v>7161</v>
      </c>
      <c r="C23" s="321">
        <v>107579.21145199999</v>
      </c>
      <c r="D23" s="322">
        <v>461911</v>
      </c>
      <c r="E23" s="323">
        <f t="shared" si="5"/>
        <v>0.42936827084487117</v>
      </c>
      <c r="F23" s="324">
        <v>12944171</v>
      </c>
      <c r="G23" s="322">
        <v>677250.68</v>
      </c>
      <c r="H23" s="325">
        <v>5.1999999999999998E-2</v>
      </c>
      <c r="I23" s="324">
        <v>1208213</v>
      </c>
      <c r="J23" s="324">
        <f t="shared" si="4"/>
        <v>151744.72290399999</v>
      </c>
      <c r="K23" s="322">
        <f t="shared" si="6"/>
        <v>1139161.6800000002</v>
      </c>
      <c r="L23" s="324">
        <f t="shared" si="7"/>
        <v>125594.34710932593</v>
      </c>
      <c r="M23" s="326">
        <f t="shared" si="8"/>
        <v>7.5070925578129071</v>
      </c>
    </row>
    <row r="24" spans="1:13">
      <c r="A24" s="431" t="s">
        <v>304</v>
      </c>
      <c r="B24" s="320">
        <v>6545</v>
      </c>
      <c r="C24" s="321">
        <f>78282150/1000</f>
        <v>78282.149999999994</v>
      </c>
      <c r="D24" s="322">
        <v>715475.74199999997</v>
      </c>
      <c r="E24" s="323">
        <f t="shared" si="5"/>
        <v>0.9139704798603514</v>
      </c>
      <c r="F24" s="324">
        <v>13058757</v>
      </c>
      <c r="G24" s="322">
        <v>807129.35</v>
      </c>
      <c r="H24" s="325">
        <f t="shared" ref="H24:H31" si="9">G24/F24</f>
        <v>6.1807517361721333E-2</v>
      </c>
      <c r="I24" s="324">
        <v>1208213</v>
      </c>
      <c r="J24" s="324">
        <f t="shared" si="4"/>
        <v>122838.62888399999</v>
      </c>
      <c r="K24" s="322">
        <f t="shared" si="6"/>
        <v>1522605.0919999999</v>
      </c>
      <c r="L24" s="324">
        <f t="shared" si="7"/>
        <v>101669.67983625403</v>
      </c>
      <c r="M24" s="326">
        <f t="shared" si="8"/>
        <v>12.395165151491875</v>
      </c>
    </row>
    <row r="25" spans="1:13">
      <c r="A25" s="431" t="s">
        <v>328</v>
      </c>
      <c r="B25" s="320">
        <v>7082</v>
      </c>
      <c r="C25" s="321">
        <v>77067</v>
      </c>
      <c r="D25" s="322">
        <v>469764</v>
      </c>
      <c r="E25" s="323">
        <f t="shared" si="5"/>
        <v>0.60955272684806727</v>
      </c>
      <c r="F25" s="324">
        <v>11177000</v>
      </c>
      <c r="G25" s="322">
        <v>770180</v>
      </c>
      <c r="H25" s="325">
        <f t="shared" si="9"/>
        <v>6.8907578062091801E-2</v>
      </c>
      <c r="I25" s="324">
        <v>1208213</v>
      </c>
      <c r="J25" s="324">
        <f t="shared" si="4"/>
        <v>115202.924</v>
      </c>
      <c r="K25" s="322">
        <f t="shared" si="6"/>
        <v>1239944</v>
      </c>
      <c r="L25" s="324">
        <f t="shared" si="7"/>
        <v>95349.846426085467</v>
      </c>
      <c r="M25" s="326">
        <f t="shared" si="8"/>
        <v>10.763129588620512</v>
      </c>
    </row>
    <row r="26" spans="1:13">
      <c r="A26" s="431" t="s">
        <v>362</v>
      </c>
      <c r="B26" s="320">
        <v>7914</v>
      </c>
      <c r="C26" s="321">
        <v>89275</v>
      </c>
      <c r="D26" s="322">
        <v>785994</v>
      </c>
      <c r="E26" s="323">
        <f t="shared" si="5"/>
        <v>0.88041893027163254</v>
      </c>
      <c r="F26" s="324">
        <v>10787257</v>
      </c>
      <c r="G26" s="322">
        <v>796219</v>
      </c>
      <c r="H26" s="325">
        <f t="shared" si="9"/>
        <v>7.3811071711742851E-2</v>
      </c>
      <c r="I26" s="324">
        <v>1208213</v>
      </c>
      <c r="J26" s="324">
        <f t="shared" si="4"/>
        <v>126081.120884</v>
      </c>
      <c r="K26" s="322">
        <f t="shared" si="6"/>
        <v>1582213</v>
      </c>
      <c r="L26" s="324">
        <f t="shared" si="7"/>
        <v>104353.38875181777</v>
      </c>
      <c r="M26" s="326">
        <f t="shared" si="8"/>
        <v>12.549166670684212</v>
      </c>
    </row>
    <row r="27" spans="1:13">
      <c r="A27" s="431" t="s">
        <v>375</v>
      </c>
      <c r="B27" s="320">
        <v>7743</v>
      </c>
      <c r="C27" s="321">
        <v>85403</v>
      </c>
      <c r="D27" s="322">
        <v>514774</v>
      </c>
      <c r="E27" s="56">
        <f t="shared" si="5"/>
        <v>0.60275868529208576</v>
      </c>
      <c r="F27" s="324">
        <v>12337600</v>
      </c>
      <c r="G27" s="322">
        <v>947030</v>
      </c>
      <c r="H27" s="325">
        <f t="shared" si="9"/>
        <v>7.6759661522500328E-2</v>
      </c>
      <c r="I27" s="324">
        <v>1208213</v>
      </c>
      <c r="J27" s="324">
        <f t="shared" si="4"/>
        <v>127498.8912</v>
      </c>
      <c r="K27" s="322">
        <f t="shared" si="6"/>
        <v>1461804</v>
      </c>
      <c r="L27" s="324">
        <f t="shared" si="7"/>
        <v>105526.83276872538</v>
      </c>
      <c r="M27" s="326">
        <f t="shared" si="8"/>
        <v>11.465229118792525</v>
      </c>
    </row>
    <row r="28" spans="1:13">
      <c r="A28" s="432" t="s">
        <v>388</v>
      </c>
      <c r="B28" s="70">
        <v>7216</v>
      </c>
      <c r="C28" s="321">
        <v>77753</v>
      </c>
      <c r="D28" s="322">
        <v>461433</v>
      </c>
      <c r="E28" s="56">
        <f t="shared" si="5"/>
        <v>0.59346005941892921</v>
      </c>
      <c r="F28" s="324">
        <v>11670400</v>
      </c>
      <c r="G28" s="322">
        <v>853400</v>
      </c>
      <c r="H28" s="325">
        <f t="shared" si="9"/>
        <v>7.312517137373184E-2</v>
      </c>
      <c r="I28" s="324">
        <v>1208213</v>
      </c>
      <c r="J28" s="324">
        <f t="shared" si="4"/>
        <v>117572.40479999999</v>
      </c>
      <c r="K28" s="322">
        <f t="shared" si="6"/>
        <v>1314833</v>
      </c>
      <c r="L28" s="324">
        <f t="shared" si="7"/>
        <v>97310.991356656465</v>
      </c>
      <c r="M28" s="326">
        <f t="shared" si="8"/>
        <v>11.18317688777937</v>
      </c>
    </row>
    <row r="29" spans="1:13">
      <c r="A29" s="432" t="s">
        <v>452</v>
      </c>
      <c r="B29" s="70">
        <v>7870</v>
      </c>
      <c r="C29" s="321">
        <v>80810</v>
      </c>
      <c r="D29" s="322">
        <v>494770</v>
      </c>
      <c r="E29" s="56">
        <f t="shared" si="5"/>
        <v>0.61226333374582353</v>
      </c>
      <c r="F29" s="324">
        <v>11887400</v>
      </c>
      <c r="G29" s="322">
        <v>908134</v>
      </c>
      <c r="H29" s="325">
        <f t="shared" si="9"/>
        <v>7.6394669986708616E-2</v>
      </c>
      <c r="I29" s="324">
        <v>1208213</v>
      </c>
      <c r="J29" s="324">
        <f t="shared" si="4"/>
        <v>121369.8088</v>
      </c>
      <c r="K29" s="322">
        <f t="shared" si="6"/>
        <v>1402904</v>
      </c>
      <c r="L29" s="324">
        <f t="shared" si="7"/>
        <v>100453.98352773891</v>
      </c>
      <c r="M29" s="326">
        <f t="shared" si="8"/>
        <v>11.558920738779314</v>
      </c>
    </row>
    <row r="30" spans="1:13">
      <c r="A30" s="367" t="s">
        <v>490</v>
      </c>
      <c r="B30" s="70">
        <v>6302</v>
      </c>
      <c r="C30" s="321">
        <v>64591</v>
      </c>
      <c r="D30" s="322">
        <v>316037</v>
      </c>
      <c r="E30" s="56">
        <f t="shared" si="5"/>
        <v>0.48928952950101412</v>
      </c>
      <c r="F30" s="324">
        <v>11454100</v>
      </c>
      <c r="G30" s="322">
        <v>903976</v>
      </c>
      <c r="H30" s="325">
        <f t="shared" si="9"/>
        <v>7.8921608856217421E-2</v>
      </c>
      <c r="I30" s="324">
        <v>1208213</v>
      </c>
      <c r="J30" s="324">
        <f t="shared" si="4"/>
        <v>103672.38920000001</v>
      </c>
      <c r="K30" s="322">
        <f t="shared" si="6"/>
        <v>1220013</v>
      </c>
      <c r="L30" s="324">
        <f t="shared" si="7"/>
        <v>85806.384470287943</v>
      </c>
      <c r="M30" s="326">
        <f t="shared" si="8"/>
        <v>11.767964541131651</v>
      </c>
    </row>
    <row r="31" spans="1:13">
      <c r="A31" s="367" t="s">
        <v>512</v>
      </c>
      <c r="B31" s="70">
        <v>7562</v>
      </c>
      <c r="C31" s="321">
        <v>82310</v>
      </c>
      <c r="D31" s="322">
        <v>393810</v>
      </c>
      <c r="E31" s="56">
        <f t="shared" si="5"/>
        <v>0.47844733325233868</v>
      </c>
      <c r="F31" s="324">
        <v>11916100</v>
      </c>
      <c r="G31" s="322">
        <v>979799</v>
      </c>
      <c r="H31" s="325">
        <f t="shared" si="9"/>
        <v>8.2224805095626921E-2</v>
      </c>
      <c r="I31" s="324">
        <v>1208213</v>
      </c>
      <c r="J31" s="324">
        <f t="shared" si="4"/>
        <v>122967.7332</v>
      </c>
      <c r="K31" s="322">
        <f t="shared" si="6"/>
        <v>1373609</v>
      </c>
      <c r="L31" s="324">
        <f t="shared" si="7"/>
        <v>101776.5354287696</v>
      </c>
      <c r="M31" s="326">
        <f t="shared" si="8"/>
        <v>11.170483217462449</v>
      </c>
    </row>
    <row r="33" spans="1:5" ht="15">
      <c r="A33" s="59" t="s">
        <v>29</v>
      </c>
      <c r="B33" s="155" t="s">
        <v>97</v>
      </c>
      <c r="C33" s="313" t="s">
        <v>466</v>
      </c>
      <c r="D33" s="314" t="s">
        <v>465</v>
      </c>
      <c r="E33" s="314" t="s">
        <v>465</v>
      </c>
    </row>
    <row r="34" spans="1:5" ht="15.75" thickBot="1">
      <c r="A34" s="60" t="s">
        <v>13</v>
      </c>
      <c r="B34" s="424" t="s">
        <v>464</v>
      </c>
      <c r="C34" s="313" t="s">
        <v>308</v>
      </c>
      <c r="D34" s="314" t="s">
        <v>309</v>
      </c>
      <c r="E34" s="314" t="s">
        <v>310</v>
      </c>
    </row>
    <row r="35" spans="1:5">
      <c r="A35" s="76" t="s">
        <v>144</v>
      </c>
      <c r="B35" s="157">
        <v>7795</v>
      </c>
      <c r="C35" s="3">
        <f>SUM(C9/10)</f>
        <v>9873.9</v>
      </c>
      <c r="D35" s="55">
        <f t="shared" ref="D35:D50" si="10">SUM(D9/10)</f>
        <v>25167.1</v>
      </c>
      <c r="E35" s="82">
        <f>D35/10</f>
        <v>2516.71</v>
      </c>
    </row>
    <row r="36" spans="1:5">
      <c r="A36" s="17" t="s">
        <v>117</v>
      </c>
      <c r="B36" s="102">
        <v>7915</v>
      </c>
      <c r="C36" s="3">
        <f t="shared" ref="C36:C50" si="11">SUM(C10/10)</f>
        <v>9226.7999999999993</v>
      </c>
      <c r="D36" s="55">
        <f t="shared" si="10"/>
        <v>15977</v>
      </c>
      <c r="E36" s="82">
        <f t="shared" ref="E36:E54" si="12">D36/10</f>
        <v>1597.7</v>
      </c>
    </row>
    <row r="37" spans="1:5">
      <c r="A37" s="17" t="s">
        <v>145</v>
      </c>
      <c r="B37" s="102">
        <v>7296</v>
      </c>
      <c r="C37" s="3">
        <f t="shared" si="11"/>
        <v>9597.7000000000007</v>
      </c>
      <c r="D37" s="55">
        <f t="shared" si="10"/>
        <v>16583.446</v>
      </c>
      <c r="E37" s="82">
        <f t="shared" si="12"/>
        <v>1658.3445999999999</v>
      </c>
    </row>
    <row r="38" spans="1:5">
      <c r="A38" s="17" t="s">
        <v>146</v>
      </c>
      <c r="B38" s="102">
        <v>7098</v>
      </c>
      <c r="C38" s="3">
        <f t="shared" si="11"/>
        <v>8517.2999999999993</v>
      </c>
      <c r="D38" s="55">
        <f t="shared" si="10"/>
        <v>21210.704999999998</v>
      </c>
      <c r="E38" s="82">
        <f t="shared" si="12"/>
        <v>2121.0704999999998</v>
      </c>
    </row>
    <row r="39" spans="1:5">
      <c r="A39" s="17" t="s">
        <v>87</v>
      </c>
      <c r="B39" s="102">
        <v>6139</v>
      </c>
      <c r="C39" s="3">
        <f t="shared" si="11"/>
        <v>7744.4</v>
      </c>
      <c r="D39" s="55">
        <f t="shared" si="10"/>
        <v>15566.662</v>
      </c>
      <c r="E39" s="82">
        <f t="shared" si="12"/>
        <v>1556.6662000000001</v>
      </c>
    </row>
    <row r="40" spans="1:5">
      <c r="A40" s="17" t="s">
        <v>88</v>
      </c>
      <c r="B40" s="102">
        <v>7921</v>
      </c>
      <c r="C40" s="3">
        <f t="shared" si="11"/>
        <v>9158.9</v>
      </c>
      <c r="D40" s="55">
        <f t="shared" si="10"/>
        <v>21177.599999999999</v>
      </c>
      <c r="E40" s="82">
        <f t="shared" si="12"/>
        <v>2117.7599999999998</v>
      </c>
    </row>
    <row r="41" spans="1:5">
      <c r="A41" s="17" t="s">
        <v>89</v>
      </c>
      <c r="B41" s="102">
        <v>7297</v>
      </c>
      <c r="C41" s="3">
        <f t="shared" si="11"/>
        <v>9999.1</v>
      </c>
      <c r="D41" s="55">
        <f t="shared" si="10"/>
        <v>29314.626</v>
      </c>
      <c r="E41" s="82">
        <f t="shared" si="12"/>
        <v>2931.4625999999998</v>
      </c>
    </row>
    <row r="42" spans="1:5">
      <c r="A42" s="61" t="s">
        <v>90</v>
      </c>
      <c r="B42" s="102">
        <v>6589</v>
      </c>
      <c r="C42" s="3">
        <f t="shared" si="11"/>
        <v>8241.2000000000007</v>
      </c>
      <c r="D42" s="55">
        <f t="shared" si="10"/>
        <v>22364.154000000002</v>
      </c>
      <c r="E42" s="82">
        <f t="shared" si="12"/>
        <v>2236.4154000000003</v>
      </c>
    </row>
    <row r="43" spans="1:5">
      <c r="A43" s="17" t="s">
        <v>91</v>
      </c>
      <c r="B43" s="102">
        <v>6788</v>
      </c>
      <c r="C43" s="3">
        <f t="shared" si="11"/>
        <v>8667</v>
      </c>
      <c r="D43" s="55">
        <f t="shared" si="10"/>
        <v>19945.2</v>
      </c>
      <c r="E43" s="82">
        <f t="shared" si="12"/>
        <v>1994.52</v>
      </c>
    </row>
    <row r="44" spans="1:5">
      <c r="A44" s="17" t="s">
        <v>143</v>
      </c>
      <c r="B44" s="102">
        <v>6669</v>
      </c>
      <c r="C44" s="3">
        <f t="shared" si="11"/>
        <v>7702.5</v>
      </c>
      <c r="D44" s="55">
        <f t="shared" si="10"/>
        <v>22169.9</v>
      </c>
      <c r="E44" s="82">
        <f t="shared" si="12"/>
        <v>2216.9900000000002</v>
      </c>
    </row>
    <row r="45" spans="1:5">
      <c r="A45" t="s">
        <v>167</v>
      </c>
      <c r="B45" s="158">
        <v>7959</v>
      </c>
      <c r="C45" s="3">
        <f t="shared" si="11"/>
        <v>9470.1</v>
      </c>
      <c r="D45" s="55">
        <f t="shared" si="10"/>
        <v>50696.2</v>
      </c>
      <c r="E45" s="82">
        <f t="shared" si="12"/>
        <v>5069.62</v>
      </c>
    </row>
    <row r="46" spans="1:5">
      <c r="A46" s="61" t="s">
        <v>168</v>
      </c>
      <c r="B46" s="102">
        <v>6681</v>
      </c>
      <c r="C46" s="3">
        <f t="shared" si="11"/>
        <v>8541.6</v>
      </c>
      <c r="D46" s="55">
        <f t="shared" si="10"/>
        <v>32653.200000000001</v>
      </c>
      <c r="E46" s="82">
        <f t="shared" si="12"/>
        <v>3265.32</v>
      </c>
    </row>
    <row r="47" spans="1:5">
      <c r="A47" s="154" t="s">
        <v>211</v>
      </c>
      <c r="B47" s="102">
        <v>7787</v>
      </c>
      <c r="C47" s="3">
        <f t="shared" si="11"/>
        <v>9133.4</v>
      </c>
      <c r="D47" s="55">
        <f t="shared" si="10"/>
        <v>43244.978000000003</v>
      </c>
      <c r="E47" s="82">
        <f t="shared" si="12"/>
        <v>4324.4978000000001</v>
      </c>
    </row>
    <row r="48" spans="1:5">
      <c r="A48" s="154" t="s">
        <v>285</v>
      </c>
      <c r="B48" s="102">
        <v>7433</v>
      </c>
      <c r="C48" s="3">
        <f t="shared" si="11"/>
        <v>8950.1</v>
      </c>
      <c r="D48" s="55">
        <f t="shared" si="10"/>
        <v>42375.515999999996</v>
      </c>
      <c r="E48" s="82">
        <f t="shared" si="12"/>
        <v>4237.5515999999998</v>
      </c>
    </row>
    <row r="49" spans="1:5">
      <c r="A49" s="327" t="s">
        <v>307</v>
      </c>
      <c r="B49" s="320">
        <v>7161</v>
      </c>
      <c r="C49" s="3">
        <f t="shared" si="11"/>
        <v>10757.921145199998</v>
      </c>
      <c r="D49" s="55">
        <f t="shared" si="10"/>
        <v>46191.1</v>
      </c>
      <c r="E49" s="82">
        <f t="shared" si="12"/>
        <v>4619.1099999999997</v>
      </c>
    </row>
    <row r="50" spans="1:5">
      <c r="A50" s="328" t="s">
        <v>304</v>
      </c>
      <c r="B50" s="320">
        <v>6545</v>
      </c>
      <c r="C50" s="3">
        <f t="shared" si="11"/>
        <v>7828.2149999999992</v>
      </c>
      <c r="D50" s="55">
        <f t="shared" si="10"/>
        <v>71547.574200000003</v>
      </c>
      <c r="E50" s="82">
        <f t="shared" si="12"/>
        <v>7154.7574199999999</v>
      </c>
    </row>
    <row r="51" spans="1:5">
      <c r="A51" s="328" t="s">
        <v>328</v>
      </c>
      <c r="B51" s="329">
        <v>7082</v>
      </c>
      <c r="C51" s="3">
        <f>SUM(C24/10)</f>
        <v>7828.2149999999992</v>
      </c>
      <c r="D51" s="55">
        <f>SUM(D24/10)</f>
        <v>71547.574200000003</v>
      </c>
      <c r="E51" s="82">
        <f t="shared" si="12"/>
        <v>7154.7574199999999</v>
      </c>
    </row>
    <row r="52" spans="1:5">
      <c r="A52" s="328" t="s">
        <v>362</v>
      </c>
      <c r="B52" s="329">
        <v>7914</v>
      </c>
      <c r="C52" s="3">
        <f>SUM(C26/10)</f>
        <v>8927.5</v>
      </c>
      <c r="D52" s="55">
        <f>SUM(D26/10)</f>
        <v>78599.399999999994</v>
      </c>
      <c r="E52" s="82">
        <f t="shared" si="12"/>
        <v>7859.94</v>
      </c>
    </row>
    <row r="53" spans="1:5">
      <c r="A53" s="357" t="s">
        <v>375</v>
      </c>
      <c r="B53" s="70">
        <v>7743</v>
      </c>
      <c r="C53" s="3">
        <f>SUM(C27/10)</f>
        <v>8540.2999999999993</v>
      </c>
      <c r="D53" s="55">
        <f>SUM(D27/10)</f>
        <v>51477.4</v>
      </c>
      <c r="E53" s="82">
        <f t="shared" si="12"/>
        <v>5147.74</v>
      </c>
    </row>
    <row r="54" spans="1:5">
      <c r="A54" s="328" t="s">
        <v>388</v>
      </c>
      <c r="B54" s="70">
        <v>7216</v>
      </c>
      <c r="C54" s="3">
        <v>7775</v>
      </c>
      <c r="D54" s="55">
        <v>46143</v>
      </c>
      <c r="E54" s="82">
        <f t="shared" si="12"/>
        <v>4614.3</v>
      </c>
    </row>
    <row r="55" spans="1:5">
      <c r="A55" s="328" t="s">
        <v>452</v>
      </c>
      <c r="B55" s="70">
        <v>7870</v>
      </c>
      <c r="C55" s="3">
        <v>8081</v>
      </c>
      <c r="D55" s="55">
        <v>49477</v>
      </c>
      <c r="E55" s="82">
        <v>4947.7</v>
      </c>
    </row>
    <row r="56" spans="1:5">
      <c r="A56" s="328" t="s">
        <v>490</v>
      </c>
      <c r="B56" s="70">
        <v>6302</v>
      </c>
      <c r="C56" s="3">
        <v>6459</v>
      </c>
      <c r="D56" s="55">
        <v>31604</v>
      </c>
      <c r="E56" s="82">
        <v>3160.37</v>
      </c>
    </row>
    <row r="57" spans="1:5">
      <c r="A57" s="367" t="s">
        <v>512</v>
      </c>
      <c r="B57" s="70">
        <v>7562</v>
      </c>
      <c r="C57" s="79">
        <v>8231</v>
      </c>
      <c r="D57" s="159">
        <v>39381</v>
      </c>
      <c r="E57" s="82">
        <v>3938.1</v>
      </c>
    </row>
  </sheetData>
  <phoneticPr fontId="0" type="noConversion"/>
  <printOptions gridLines="1" gridLinesSet="0"/>
  <pageMargins left="0.75" right="0.75" top="1" bottom="1" header="0.5" footer="0.5"/>
  <pageSetup scale="65" fitToWidth="0" orientation="landscape" r:id="rId1"/>
  <headerFooter alignWithMargins="0">
    <oddHeader>&amp;A</oddHeader>
    <oddFooter>Page 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>
  <sheetPr codeName="Sheet21"/>
  <dimension ref="A1"/>
  <sheetViews>
    <sheetView view="pageBreakPreview" zoomScaleNormal="75" zoomScaleSheetLayoutView="100" workbookViewId="0">
      <selection activeCell="R108" sqref="R108"/>
    </sheetView>
  </sheetViews>
  <sheetFormatPr defaultRowHeight="12.75"/>
  <sheetData/>
  <phoneticPr fontId="0" type="noConversion"/>
  <printOptions gridLines="1" gridLinesSet="0"/>
  <pageMargins left="0.5" right="0.25" top="0.75" bottom="0.75" header="0.5" footer="0.5"/>
  <pageSetup orientation="landscape" r:id="rId1"/>
  <headerFooter alignWithMargins="0">
    <oddFooter>Page &amp;P</oddFooter>
  </headerFooter>
  <drawing r:id="rId2"/>
</worksheet>
</file>

<file path=xl/worksheets/sheet16.xml><?xml version="1.0" encoding="utf-8"?>
<worksheet xmlns="http://schemas.openxmlformats.org/spreadsheetml/2006/main" xmlns:r="http://schemas.openxmlformats.org/officeDocument/2006/relationships">
  <sheetPr codeName="Sheet22"/>
  <dimension ref="A1:AA29"/>
  <sheetViews>
    <sheetView view="pageLayout" topLeftCell="T1" zoomScaleNormal="100" zoomScaleSheetLayoutView="100" workbookViewId="0">
      <selection activeCell="Z36" sqref="Z36"/>
    </sheetView>
  </sheetViews>
  <sheetFormatPr defaultColWidth="9.140625" defaultRowHeight="12.75"/>
  <cols>
    <col min="1" max="1" width="22.140625" style="84" bestFit="1" customWidth="1"/>
    <col min="2" max="2" width="10.7109375" style="244" bestFit="1" customWidth="1"/>
    <col min="3" max="3" width="6.5703125" style="244" bestFit="1" customWidth="1"/>
    <col min="4" max="4" width="12" style="244" customWidth="1"/>
    <col min="5" max="5" width="6.5703125" style="244" bestFit="1" customWidth="1"/>
    <col min="6" max="7" width="11.140625" style="244" customWidth="1"/>
    <col min="8" max="8" width="10.7109375" style="244" bestFit="1" customWidth="1"/>
    <col min="9" max="9" width="11" style="244" bestFit="1" customWidth="1"/>
    <col min="10" max="10" width="10.7109375" style="244" bestFit="1" customWidth="1"/>
    <col min="11" max="11" width="11.28515625" style="244" bestFit="1" customWidth="1"/>
    <col min="12" max="12" width="10.7109375" style="244" bestFit="1" customWidth="1"/>
    <col min="13" max="13" width="10.5703125" style="244" customWidth="1"/>
    <col min="14" max="16" width="10.7109375" style="244" bestFit="1" customWidth="1"/>
    <col min="17" max="17" width="11.5703125" style="244" customWidth="1"/>
    <col min="18" max="18" width="10.7109375" style="244" bestFit="1" customWidth="1"/>
    <col min="19" max="19" width="11.140625" style="244" customWidth="1"/>
    <col min="20" max="20" width="10.7109375" style="244" customWidth="1"/>
    <col min="21" max="21" width="11.28515625" style="244" customWidth="1"/>
    <col min="22" max="22" width="11.5703125" style="244" customWidth="1"/>
    <col min="23" max="23" width="11.7109375" style="244" customWidth="1"/>
    <col min="24" max="24" width="10.7109375" style="244" bestFit="1" customWidth="1"/>
    <col min="25" max="25" width="11.7109375" style="244" customWidth="1"/>
    <col min="26" max="26" width="11" style="245" customWidth="1"/>
    <col min="27" max="27" width="9.7109375" style="264" customWidth="1"/>
    <col min="28" max="16384" width="9.140625" style="236"/>
  </cols>
  <sheetData>
    <row r="1" spans="1:27">
      <c r="A1" s="241" t="s">
        <v>227</v>
      </c>
      <c r="B1" s="242"/>
      <c r="C1" s="243"/>
      <c r="D1" s="242"/>
      <c r="E1" s="243"/>
      <c r="F1" s="242"/>
      <c r="G1" s="243"/>
      <c r="H1" s="242"/>
      <c r="I1" s="243"/>
      <c r="J1" s="242"/>
      <c r="K1" s="243"/>
      <c r="L1" s="242"/>
      <c r="M1" s="243"/>
      <c r="N1" s="242"/>
      <c r="O1" s="243"/>
      <c r="P1" s="242"/>
      <c r="Q1" s="243"/>
      <c r="R1" s="242"/>
      <c r="S1" s="243"/>
      <c r="T1" s="242"/>
      <c r="U1" s="243"/>
      <c r="V1" s="242"/>
      <c r="W1" s="243"/>
      <c r="X1" s="242"/>
      <c r="Y1" s="243"/>
      <c r="Z1" s="261"/>
      <c r="AA1" s="265"/>
    </row>
    <row r="2" spans="1:27" s="260" customFormat="1">
      <c r="A2" s="257"/>
      <c r="B2" s="258"/>
      <c r="C2" s="259" t="s">
        <v>182</v>
      </c>
      <c r="D2" s="258"/>
      <c r="E2" s="259" t="s">
        <v>183</v>
      </c>
      <c r="F2" s="258"/>
      <c r="G2" s="259" t="s">
        <v>184</v>
      </c>
      <c r="H2" s="258"/>
      <c r="I2" s="259" t="s">
        <v>185</v>
      </c>
      <c r="J2" s="258"/>
      <c r="K2" s="259" t="s">
        <v>186</v>
      </c>
      <c r="L2" s="258"/>
      <c r="M2" s="259" t="s">
        <v>187</v>
      </c>
      <c r="N2" s="258"/>
      <c r="O2" s="259" t="s">
        <v>188</v>
      </c>
      <c r="P2" s="258"/>
      <c r="Q2" s="259" t="s">
        <v>189</v>
      </c>
      <c r="R2" s="258"/>
      <c r="S2" s="259" t="s">
        <v>190</v>
      </c>
      <c r="T2" s="258"/>
      <c r="U2" s="259" t="s">
        <v>191</v>
      </c>
      <c r="V2" s="258"/>
      <c r="W2" s="259" t="s">
        <v>192</v>
      </c>
      <c r="X2" s="258"/>
      <c r="Y2" s="259" t="s">
        <v>193</v>
      </c>
      <c r="Z2" s="257" t="s">
        <v>252</v>
      </c>
      <c r="AA2" s="266"/>
    </row>
    <row r="3" spans="1:27" s="237" customFormat="1" ht="11.25">
      <c r="A3" s="238"/>
      <c r="B3" s="239">
        <v>41091</v>
      </c>
      <c r="C3" s="240"/>
      <c r="D3" s="239">
        <v>41122</v>
      </c>
      <c r="E3" s="240"/>
      <c r="F3" s="239">
        <v>41153</v>
      </c>
      <c r="G3" s="240"/>
      <c r="H3" s="239">
        <v>41183</v>
      </c>
      <c r="I3" s="240"/>
      <c r="J3" s="239">
        <v>41214</v>
      </c>
      <c r="K3" s="240"/>
      <c r="L3" s="239">
        <v>41246</v>
      </c>
      <c r="M3" s="240"/>
      <c r="N3" s="239">
        <v>41276</v>
      </c>
      <c r="O3" s="240"/>
      <c r="P3" s="239">
        <v>41308</v>
      </c>
      <c r="Q3" s="240"/>
      <c r="R3" s="239">
        <v>41334</v>
      </c>
      <c r="S3" s="240"/>
      <c r="T3" s="239">
        <v>41365</v>
      </c>
      <c r="U3" s="240"/>
      <c r="V3" s="239">
        <v>41395</v>
      </c>
      <c r="W3" s="240"/>
      <c r="X3" s="239">
        <v>41426</v>
      </c>
      <c r="Y3" s="240"/>
      <c r="Z3" s="238"/>
      <c r="AA3" s="267" t="s">
        <v>231</v>
      </c>
    </row>
    <row r="4" spans="1:27" s="249" customFormat="1" ht="13.5" thickBot="1">
      <c r="A4" s="246"/>
      <c r="B4" s="247" t="s">
        <v>230</v>
      </c>
      <c r="C4" s="248" t="s">
        <v>229</v>
      </c>
      <c r="D4" s="247" t="s">
        <v>230</v>
      </c>
      <c r="E4" s="248" t="s">
        <v>229</v>
      </c>
      <c r="F4" s="247" t="s">
        <v>228</v>
      </c>
      <c r="G4" s="248" t="s">
        <v>229</v>
      </c>
      <c r="H4" s="247" t="s">
        <v>230</v>
      </c>
      <c r="I4" s="248" t="s">
        <v>229</v>
      </c>
      <c r="J4" s="247" t="s">
        <v>228</v>
      </c>
      <c r="K4" s="248" t="s">
        <v>229</v>
      </c>
      <c r="L4" s="247" t="s">
        <v>228</v>
      </c>
      <c r="M4" s="248" t="s">
        <v>229</v>
      </c>
      <c r="N4" s="247" t="s">
        <v>230</v>
      </c>
      <c r="O4" s="248" t="s">
        <v>229</v>
      </c>
      <c r="P4" s="247" t="s">
        <v>228</v>
      </c>
      <c r="Q4" s="248" t="s">
        <v>229</v>
      </c>
      <c r="R4" s="247" t="s">
        <v>230</v>
      </c>
      <c r="S4" s="248" t="s">
        <v>229</v>
      </c>
      <c r="T4" s="247" t="s">
        <v>228</v>
      </c>
      <c r="U4" s="248" t="s">
        <v>229</v>
      </c>
      <c r="V4" s="247" t="s">
        <v>228</v>
      </c>
      <c r="W4" s="248" t="s">
        <v>229</v>
      </c>
      <c r="X4" s="247" t="s">
        <v>230</v>
      </c>
      <c r="Y4" s="248" t="s">
        <v>229</v>
      </c>
      <c r="Z4" s="246" t="s">
        <v>30</v>
      </c>
      <c r="AA4" s="268"/>
    </row>
    <row r="5" spans="1:27" ht="13.5" thickTop="1">
      <c r="A5" s="250" t="s">
        <v>232</v>
      </c>
      <c r="B5" s="315">
        <v>7532350</v>
      </c>
      <c r="C5" s="251">
        <v>0</v>
      </c>
      <c r="D5" s="315">
        <v>7532350</v>
      </c>
      <c r="E5" s="251">
        <v>0</v>
      </c>
      <c r="F5" s="315">
        <v>7532350</v>
      </c>
      <c r="G5" s="251">
        <f>F5-D5</f>
        <v>0</v>
      </c>
      <c r="H5" s="315">
        <v>7538810</v>
      </c>
      <c r="I5" s="251">
        <f t="shared" ref="I5:I26" si="0">H5-F5</f>
        <v>6460</v>
      </c>
      <c r="J5" s="315">
        <v>7602390</v>
      </c>
      <c r="K5" s="251">
        <f t="shared" ref="K5:K26" si="1">J5-H5</f>
        <v>63580</v>
      </c>
      <c r="L5" s="315">
        <v>7719270</v>
      </c>
      <c r="M5" s="251">
        <f>L5-J5</f>
        <v>116880</v>
      </c>
      <c r="N5" s="315">
        <v>7924340</v>
      </c>
      <c r="O5" s="251">
        <f>N5-L5</f>
        <v>205070</v>
      </c>
      <c r="P5" s="315">
        <v>8157390</v>
      </c>
      <c r="Q5" s="251">
        <f>P5-N5</f>
        <v>233050</v>
      </c>
      <c r="R5" s="315">
        <v>8343320</v>
      </c>
      <c r="S5" s="251">
        <f>R5-P5</f>
        <v>185930</v>
      </c>
      <c r="T5" s="315">
        <v>8484840</v>
      </c>
      <c r="U5" s="251">
        <f>T5-R5</f>
        <v>141520</v>
      </c>
      <c r="V5" s="315">
        <v>8589300</v>
      </c>
      <c r="W5" s="251">
        <f t="shared" ref="W5:W17" si="2">V5-T5</f>
        <v>104460</v>
      </c>
      <c r="X5" s="315">
        <v>8589300</v>
      </c>
      <c r="Y5" s="251">
        <f t="shared" ref="Y5:Y26" si="3">X5-V5</f>
        <v>0</v>
      </c>
      <c r="Z5" s="262">
        <f t="shared" ref="Z5:Z17" si="4">C5+E5+G5+I5+K5+M5+O5+Q5+S5+W5+Y5</f>
        <v>915430</v>
      </c>
      <c r="AA5" s="269">
        <f>Z5/Z27</f>
        <v>0.10009235879911912</v>
      </c>
    </row>
    <row r="6" spans="1:27">
      <c r="A6" s="250" t="s">
        <v>234</v>
      </c>
      <c r="B6" s="315">
        <v>2137170</v>
      </c>
      <c r="C6" s="251">
        <v>0</v>
      </c>
      <c r="D6" s="315">
        <v>2137170</v>
      </c>
      <c r="E6" s="251">
        <v>0</v>
      </c>
      <c r="F6" s="315">
        <v>2137170</v>
      </c>
      <c r="G6" s="251">
        <f t="shared" ref="G6:G26" si="5">F6-D6</f>
        <v>0</v>
      </c>
      <c r="H6" s="315">
        <v>2137210</v>
      </c>
      <c r="I6" s="251">
        <f t="shared" si="0"/>
        <v>40</v>
      </c>
      <c r="J6" s="315">
        <v>2143230</v>
      </c>
      <c r="K6" s="251">
        <f t="shared" si="1"/>
        <v>6020</v>
      </c>
      <c r="L6" s="315">
        <v>2156850</v>
      </c>
      <c r="M6" s="251">
        <f t="shared" ref="M6:M26" si="6">L6-J6</f>
        <v>13620</v>
      </c>
      <c r="N6" s="315">
        <v>2176800</v>
      </c>
      <c r="O6" s="251">
        <f t="shared" ref="O6:O26" si="7">N6-L6</f>
        <v>19950</v>
      </c>
      <c r="P6" s="315">
        <v>2191550</v>
      </c>
      <c r="Q6" s="251">
        <f t="shared" ref="Q6:Q26" si="8">P6-N6</f>
        <v>14750</v>
      </c>
      <c r="R6" s="315">
        <v>2199470</v>
      </c>
      <c r="S6" s="251">
        <f t="shared" ref="S6:S26" si="9">R6-P6</f>
        <v>7920</v>
      </c>
      <c r="T6" s="315">
        <v>2204540</v>
      </c>
      <c r="U6" s="251">
        <f t="shared" ref="U6:U17" si="10">T6-R6</f>
        <v>5070</v>
      </c>
      <c r="V6" s="315">
        <v>2206460</v>
      </c>
      <c r="W6" s="251">
        <f t="shared" si="2"/>
        <v>1920</v>
      </c>
      <c r="X6" s="315">
        <v>2206460</v>
      </c>
      <c r="Y6" s="251">
        <f t="shared" si="3"/>
        <v>0</v>
      </c>
      <c r="Z6" s="262">
        <f t="shared" si="4"/>
        <v>64220</v>
      </c>
      <c r="AA6" s="269">
        <f>Z6/Z27</f>
        <v>7.0217616661890367E-3</v>
      </c>
    </row>
    <row r="7" spans="1:27">
      <c r="A7" s="252" t="s">
        <v>240</v>
      </c>
      <c r="B7" s="315">
        <v>1635870</v>
      </c>
      <c r="C7" s="251">
        <v>0</v>
      </c>
      <c r="D7" s="315">
        <v>1635870</v>
      </c>
      <c r="E7" s="251">
        <v>0</v>
      </c>
      <c r="F7" s="315">
        <v>1635870</v>
      </c>
      <c r="G7" s="251">
        <f t="shared" si="5"/>
        <v>0</v>
      </c>
      <c r="H7" s="315">
        <v>1635870</v>
      </c>
      <c r="I7" s="251">
        <f t="shared" si="0"/>
        <v>0</v>
      </c>
      <c r="J7" s="315">
        <v>1638480</v>
      </c>
      <c r="K7" s="251">
        <f t="shared" si="1"/>
        <v>2610</v>
      </c>
      <c r="L7" s="315">
        <v>1643930</v>
      </c>
      <c r="M7" s="251">
        <f t="shared" si="6"/>
        <v>5450</v>
      </c>
      <c r="N7" s="315">
        <v>1661100</v>
      </c>
      <c r="O7" s="251">
        <f t="shared" si="7"/>
        <v>17170</v>
      </c>
      <c r="P7" s="315">
        <v>1680550</v>
      </c>
      <c r="Q7" s="251">
        <f t="shared" si="8"/>
        <v>19450</v>
      </c>
      <c r="R7" s="315">
        <v>1681720</v>
      </c>
      <c r="S7" s="251">
        <f t="shared" si="9"/>
        <v>1170</v>
      </c>
      <c r="T7" s="315">
        <v>1681840</v>
      </c>
      <c r="U7" s="251">
        <f t="shared" si="10"/>
        <v>120</v>
      </c>
      <c r="V7" s="315">
        <v>1681840</v>
      </c>
      <c r="W7" s="251">
        <f t="shared" si="2"/>
        <v>0</v>
      </c>
      <c r="X7" s="315">
        <v>1681840</v>
      </c>
      <c r="Y7" s="251">
        <f t="shared" si="3"/>
        <v>0</v>
      </c>
      <c r="Z7" s="262">
        <f t="shared" si="4"/>
        <v>45850</v>
      </c>
      <c r="AA7" s="269">
        <f>Z7/Z27</f>
        <v>5.0132010650072775E-3</v>
      </c>
    </row>
    <row r="8" spans="1:27">
      <c r="A8" s="252" t="s">
        <v>238</v>
      </c>
      <c r="B8" s="315">
        <v>2950130</v>
      </c>
      <c r="C8" s="251">
        <v>0</v>
      </c>
      <c r="D8" s="315">
        <v>2950130</v>
      </c>
      <c r="E8" s="251">
        <v>0</v>
      </c>
      <c r="F8" s="315">
        <v>2950130</v>
      </c>
      <c r="G8" s="251">
        <f t="shared" si="5"/>
        <v>0</v>
      </c>
      <c r="H8" s="315">
        <v>2954680</v>
      </c>
      <c r="I8" s="251">
        <f t="shared" si="0"/>
        <v>4550</v>
      </c>
      <c r="J8" s="315">
        <v>2996960</v>
      </c>
      <c r="K8" s="251">
        <f t="shared" si="1"/>
        <v>42280</v>
      </c>
      <c r="L8" s="315">
        <v>3043600</v>
      </c>
      <c r="M8" s="251">
        <f t="shared" si="6"/>
        <v>46640</v>
      </c>
      <c r="N8" s="315">
        <v>3075070</v>
      </c>
      <c r="O8" s="251">
        <f t="shared" si="7"/>
        <v>31470</v>
      </c>
      <c r="P8" s="315">
        <v>3077540</v>
      </c>
      <c r="Q8" s="251">
        <f t="shared" si="8"/>
        <v>2470</v>
      </c>
      <c r="R8" s="315">
        <v>3077540</v>
      </c>
      <c r="S8" s="251">
        <f t="shared" si="9"/>
        <v>0</v>
      </c>
      <c r="T8" s="315">
        <v>3077540</v>
      </c>
      <c r="U8" s="251">
        <f t="shared" si="10"/>
        <v>0</v>
      </c>
      <c r="V8" s="315">
        <v>3077540</v>
      </c>
      <c r="W8" s="251">
        <f t="shared" si="2"/>
        <v>0</v>
      </c>
      <c r="X8" s="315">
        <v>3077540</v>
      </c>
      <c r="Y8" s="251">
        <f t="shared" si="3"/>
        <v>0</v>
      </c>
      <c r="Z8" s="262">
        <f t="shared" si="4"/>
        <v>127410</v>
      </c>
      <c r="AA8" s="269">
        <f>Z8/Z27</f>
        <v>1.3930903984570931E-2</v>
      </c>
    </row>
    <row r="9" spans="1:27">
      <c r="A9" s="252" t="s">
        <v>244</v>
      </c>
      <c r="B9" s="315">
        <v>2317180</v>
      </c>
      <c r="C9" s="251">
        <v>0</v>
      </c>
      <c r="D9" s="315">
        <v>2317180</v>
      </c>
      <c r="E9" s="251">
        <v>0</v>
      </c>
      <c r="F9" s="315">
        <v>2317180</v>
      </c>
      <c r="G9" s="251">
        <f t="shared" si="5"/>
        <v>0</v>
      </c>
      <c r="H9" s="315">
        <v>2334740</v>
      </c>
      <c r="I9" s="251">
        <f t="shared" si="0"/>
        <v>17560</v>
      </c>
      <c r="J9" s="315">
        <v>2362700</v>
      </c>
      <c r="K9" s="251">
        <f t="shared" si="1"/>
        <v>27960</v>
      </c>
      <c r="L9" s="315">
        <v>2393800</v>
      </c>
      <c r="M9" s="251">
        <f t="shared" si="6"/>
        <v>31100</v>
      </c>
      <c r="N9" s="315">
        <v>2434280</v>
      </c>
      <c r="O9" s="251">
        <f t="shared" si="7"/>
        <v>40480</v>
      </c>
      <c r="P9" s="315">
        <v>2479860</v>
      </c>
      <c r="Q9" s="251">
        <f t="shared" si="8"/>
        <v>45580</v>
      </c>
      <c r="R9" s="315">
        <v>2521610</v>
      </c>
      <c r="S9" s="251">
        <f t="shared" si="9"/>
        <v>41750</v>
      </c>
      <c r="T9" s="315">
        <v>2560310</v>
      </c>
      <c r="U9" s="251">
        <f t="shared" si="10"/>
        <v>38700</v>
      </c>
      <c r="V9" s="315">
        <v>2591790</v>
      </c>
      <c r="W9" s="251">
        <f t="shared" si="2"/>
        <v>31480</v>
      </c>
      <c r="X9" s="315">
        <v>2591790</v>
      </c>
      <c r="Y9" s="251">
        <f t="shared" si="3"/>
        <v>0</v>
      </c>
      <c r="Z9" s="262">
        <f t="shared" si="4"/>
        <v>235910</v>
      </c>
      <c r="AA9" s="269">
        <f>Z9/Z27</f>
        <v>2.5794204214740823E-2</v>
      </c>
    </row>
    <row r="10" spans="1:27">
      <c r="A10" s="252" t="s">
        <v>235</v>
      </c>
      <c r="B10" s="315">
        <v>802230</v>
      </c>
      <c r="C10" s="251">
        <v>0</v>
      </c>
      <c r="D10" s="315">
        <v>802230</v>
      </c>
      <c r="E10" s="251">
        <v>0</v>
      </c>
      <c r="F10" s="315">
        <v>802230</v>
      </c>
      <c r="G10" s="251">
        <f t="shared" si="5"/>
        <v>0</v>
      </c>
      <c r="H10" s="315">
        <v>811990</v>
      </c>
      <c r="I10" s="251">
        <f t="shared" si="0"/>
        <v>9760</v>
      </c>
      <c r="J10" s="315">
        <v>823170</v>
      </c>
      <c r="K10" s="251">
        <f t="shared" si="1"/>
        <v>11180</v>
      </c>
      <c r="L10" s="315">
        <v>840260</v>
      </c>
      <c r="M10" s="251">
        <f t="shared" si="6"/>
        <v>17090</v>
      </c>
      <c r="N10" s="315">
        <v>865690</v>
      </c>
      <c r="O10" s="251">
        <f t="shared" si="7"/>
        <v>25430</v>
      </c>
      <c r="P10" s="315">
        <v>890500</v>
      </c>
      <c r="Q10" s="251">
        <f t="shared" si="8"/>
        <v>24810</v>
      </c>
      <c r="R10" s="315">
        <v>915670</v>
      </c>
      <c r="S10" s="251">
        <f t="shared" si="9"/>
        <v>25170</v>
      </c>
      <c r="T10" s="315">
        <v>935910</v>
      </c>
      <c r="U10" s="251">
        <f t="shared" si="10"/>
        <v>20240</v>
      </c>
      <c r="V10" s="315">
        <v>951370</v>
      </c>
      <c r="W10" s="251">
        <f t="shared" si="2"/>
        <v>15460</v>
      </c>
      <c r="X10" s="315">
        <v>951370</v>
      </c>
      <c r="Y10" s="251">
        <f t="shared" si="3"/>
        <v>0</v>
      </c>
      <c r="Z10" s="262">
        <f t="shared" si="4"/>
        <v>128900</v>
      </c>
      <c r="AA10" s="269">
        <f>Z10/Z27</f>
        <v>1.4093819351787088E-2</v>
      </c>
    </row>
    <row r="11" spans="1:27">
      <c r="A11" s="250" t="s">
        <v>245</v>
      </c>
      <c r="B11" s="315">
        <v>3485120</v>
      </c>
      <c r="C11" s="251">
        <v>0</v>
      </c>
      <c r="D11" s="315">
        <v>3485120</v>
      </c>
      <c r="E11" s="251">
        <v>0</v>
      </c>
      <c r="F11" s="315">
        <v>3485120</v>
      </c>
      <c r="G11" s="251">
        <f t="shared" si="5"/>
        <v>0</v>
      </c>
      <c r="H11" s="315">
        <v>3500970</v>
      </c>
      <c r="I11" s="251">
        <f t="shared" si="0"/>
        <v>15850</v>
      </c>
      <c r="J11" s="315">
        <v>3515460</v>
      </c>
      <c r="K11" s="251">
        <f t="shared" si="1"/>
        <v>14490</v>
      </c>
      <c r="L11" s="315">
        <v>3538210</v>
      </c>
      <c r="M11" s="251">
        <f t="shared" si="6"/>
        <v>22750</v>
      </c>
      <c r="N11" s="315">
        <v>3569860</v>
      </c>
      <c r="O11" s="251">
        <f t="shared" si="7"/>
        <v>31650</v>
      </c>
      <c r="P11" s="315">
        <v>3573040</v>
      </c>
      <c r="Q11" s="251">
        <f t="shared" si="8"/>
        <v>3180</v>
      </c>
      <c r="R11" s="315">
        <v>3587500</v>
      </c>
      <c r="S11" s="251">
        <f t="shared" si="9"/>
        <v>14460</v>
      </c>
      <c r="T11" s="315">
        <v>3588190</v>
      </c>
      <c r="U11" s="251">
        <f t="shared" si="10"/>
        <v>690</v>
      </c>
      <c r="V11" s="315">
        <v>3589800</v>
      </c>
      <c r="W11" s="251">
        <f t="shared" si="2"/>
        <v>1610</v>
      </c>
      <c r="X11" s="315">
        <v>3589800</v>
      </c>
      <c r="Y11" s="251">
        <f t="shared" si="3"/>
        <v>0</v>
      </c>
      <c r="Z11" s="262">
        <f t="shared" si="4"/>
        <v>103990</v>
      </c>
      <c r="AA11" s="269">
        <f>Z11/Z27</f>
        <v>1.1370180561616287E-2</v>
      </c>
    </row>
    <row r="12" spans="1:27">
      <c r="A12" s="252" t="s">
        <v>250</v>
      </c>
      <c r="B12" s="315">
        <v>8095720</v>
      </c>
      <c r="C12" s="251">
        <v>0</v>
      </c>
      <c r="D12" s="315">
        <v>8095720</v>
      </c>
      <c r="E12" s="251">
        <v>0</v>
      </c>
      <c r="F12" s="315">
        <v>8095720</v>
      </c>
      <c r="G12" s="251">
        <f t="shared" si="5"/>
        <v>0</v>
      </c>
      <c r="H12" s="315">
        <v>8097270</v>
      </c>
      <c r="I12" s="251">
        <f t="shared" si="0"/>
        <v>1550</v>
      </c>
      <c r="J12" s="315">
        <v>8118510</v>
      </c>
      <c r="K12" s="251">
        <f t="shared" si="1"/>
        <v>21240</v>
      </c>
      <c r="L12" s="315">
        <v>8153540</v>
      </c>
      <c r="M12" s="251">
        <f t="shared" si="6"/>
        <v>35030</v>
      </c>
      <c r="N12" s="315">
        <v>8197310</v>
      </c>
      <c r="O12" s="251">
        <f t="shared" si="7"/>
        <v>43770</v>
      </c>
      <c r="P12" s="315">
        <v>8242730</v>
      </c>
      <c r="Q12" s="251">
        <f t="shared" si="8"/>
        <v>45420</v>
      </c>
      <c r="R12" s="315">
        <v>8295650</v>
      </c>
      <c r="S12" s="251">
        <f t="shared" si="9"/>
        <v>52920</v>
      </c>
      <c r="T12" s="315">
        <v>8340210</v>
      </c>
      <c r="U12" s="251">
        <f t="shared" si="10"/>
        <v>44560</v>
      </c>
      <c r="V12" s="315">
        <v>8371410</v>
      </c>
      <c r="W12" s="251">
        <f t="shared" si="2"/>
        <v>31200</v>
      </c>
      <c r="X12" s="315">
        <v>8371410</v>
      </c>
      <c r="Y12" s="251">
        <f t="shared" si="3"/>
        <v>0</v>
      </c>
      <c r="Z12" s="262">
        <f t="shared" si="4"/>
        <v>231130</v>
      </c>
      <c r="AA12" s="269">
        <f>Z12/Z27</f>
        <v>2.5271562969577579E-2</v>
      </c>
    </row>
    <row r="13" spans="1:27">
      <c r="A13" s="252" t="s">
        <v>241</v>
      </c>
      <c r="B13" s="315">
        <v>2686300</v>
      </c>
      <c r="C13" s="251">
        <v>0</v>
      </c>
      <c r="D13" s="315">
        <v>2686300</v>
      </c>
      <c r="E13" s="251">
        <v>0</v>
      </c>
      <c r="F13" s="315">
        <v>2686300</v>
      </c>
      <c r="G13" s="251">
        <f t="shared" si="5"/>
        <v>0</v>
      </c>
      <c r="H13" s="315">
        <v>2688000</v>
      </c>
      <c r="I13" s="251">
        <f t="shared" si="0"/>
        <v>1700</v>
      </c>
      <c r="J13" s="315">
        <v>2703300</v>
      </c>
      <c r="K13" s="251">
        <f t="shared" si="1"/>
        <v>15300</v>
      </c>
      <c r="L13" s="315">
        <v>2729500</v>
      </c>
      <c r="M13" s="251">
        <f t="shared" si="6"/>
        <v>26200</v>
      </c>
      <c r="N13" s="315">
        <v>2765400</v>
      </c>
      <c r="O13" s="251">
        <f t="shared" si="7"/>
        <v>35900</v>
      </c>
      <c r="P13" s="315">
        <v>2802800</v>
      </c>
      <c r="Q13" s="251">
        <f t="shared" si="8"/>
        <v>37400</v>
      </c>
      <c r="R13" s="315">
        <v>2839900</v>
      </c>
      <c r="S13" s="251">
        <f t="shared" si="9"/>
        <v>37100</v>
      </c>
      <c r="T13" s="315">
        <v>2873000</v>
      </c>
      <c r="U13" s="251">
        <f t="shared" si="10"/>
        <v>33100</v>
      </c>
      <c r="V13" s="315">
        <v>2895600</v>
      </c>
      <c r="W13" s="251">
        <f t="shared" si="2"/>
        <v>22600</v>
      </c>
      <c r="X13" s="315">
        <v>2895600</v>
      </c>
      <c r="Y13" s="251">
        <f t="shared" si="3"/>
        <v>0</v>
      </c>
      <c r="Z13" s="262">
        <f t="shared" si="4"/>
        <v>176200</v>
      </c>
      <c r="AA13" s="269">
        <f>Z13/Z27</f>
        <v>1.9265562217105393E-2</v>
      </c>
    </row>
    <row r="14" spans="1:27">
      <c r="A14" s="252" t="s">
        <v>246</v>
      </c>
      <c r="B14" s="315">
        <v>383810</v>
      </c>
      <c r="C14" s="251">
        <v>0</v>
      </c>
      <c r="D14" s="315">
        <v>383810</v>
      </c>
      <c r="E14" s="251">
        <v>0</v>
      </c>
      <c r="F14" s="315">
        <v>383810</v>
      </c>
      <c r="G14" s="251">
        <f t="shared" si="5"/>
        <v>0</v>
      </c>
      <c r="H14" s="315">
        <v>389110</v>
      </c>
      <c r="I14" s="251">
        <f t="shared" si="0"/>
        <v>5300</v>
      </c>
      <c r="J14" s="315">
        <v>421380</v>
      </c>
      <c r="K14" s="251">
        <f t="shared" si="1"/>
        <v>32270</v>
      </c>
      <c r="L14" s="315">
        <v>475520</v>
      </c>
      <c r="M14" s="251">
        <f t="shared" si="6"/>
        <v>54140</v>
      </c>
      <c r="N14" s="315">
        <v>534080</v>
      </c>
      <c r="O14" s="251">
        <f t="shared" si="7"/>
        <v>58560</v>
      </c>
      <c r="P14" s="315">
        <v>588380</v>
      </c>
      <c r="Q14" s="251">
        <f t="shared" si="8"/>
        <v>54300</v>
      </c>
      <c r="R14" s="315">
        <v>655010</v>
      </c>
      <c r="S14" s="251">
        <f t="shared" si="9"/>
        <v>66630</v>
      </c>
      <c r="T14" s="315">
        <v>723570</v>
      </c>
      <c r="U14" s="251">
        <f t="shared" si="10"/>
        <v>68560</v>
      </c>
      <c r="V14" s="315">
        <v>779900</v>
      </c>
      <c r="W14" s="251">
        <f>V14-T14</f>
        <v>56330</v>
      </c>
      <c r="X14" s="315">
        <v>779900</v>
      </c>
      <c r="Y14" s="251">
        <f t="shared" si="3"/>
        <v>0</v>
      </c>
      <c r="Z14" s="262">
        <f t="shared" si="4"/>
        <v>327530</v>
      </c>
      <c r="AA14" s="269">
        <f>Z14/Z27</f>
        <v>3.5811859210945117E-2</v>
      </c>
    </row>
    <row r="15" spans="1:27">
      <c r="A15" s="250" t="s">
        <v>249</v>
      </c>
      <c r="B15" s="315">
        <v>2776930</v>
      </c>
      <c r="C15" s="251">
        <v>0</v>
      </c>
      <c r="D15" s="315">
        <v>2776930</v>
      </c>
      <c r="E15" s="251">
        <v>0</v>
      </c>
      <c r="F15" s="315">
        <v>2776930</v>
      </c>
      <c r="G15" s="251">
        <f t="shared" si="5"/>
        <v>0</v>
      </c>
      <c r="H15" s="315">
        <v>2777540</v>
      </c>
      <c r="I15" s="251">
        <f t="shared" si="0"/>
        <v>610</v>
      </c>
      <c r="J15" s="315">
        <v>2793700</v>
      </c>
      <c r="K15" s="251">
        <f t="shared" si="1"/>
        <v>16160</v>
      </c>
      <c r="L15" s="315">
        <v>2827380</v>
      </c>
      <c r="M15" s="251">
        <f t="shared" si="6"/>
        <v>33680</v>
      </c>
      <c r="N15" s="315">
        <v>2879960</v>
      </c>
      <c r="O15" s="251">
        <f t="shared" si="7"/>
        <v>52580</v>
      </c>
      <c r="P15" s="315">
        <v>2936430</v>
      </c>
      <c r="Q15" s="251">
        <f t="shared" si="8"/>
        <v>56470</v>
      </c>
      <c r="R15" s="315">
        <v>2995490</v>
      </c>
      <c r="S15" s="251">
        <f t="shared" si="9"/>
        <v>59060</v>
      </c>
      <c r="T15" s="315">
        <v>3045120</v>
      </c>
      <c r="U15" s="251">
        <f t="shared" si="10"/>
        <v>49630</v>
      </c>
      <c r="V15" s="315">
        <v>3078970</v>
      </c>
      <c r="W15" s="251">
        <f t="shared" si="2"/>
        <v>33850</v>
      </c>
      <c r="X15" s="315">
        <v>3078970</v>
      </c>
      <c r="Y15" s="251">
        <f t="shared" si="3"/>
        <v>0</v>
      </c>
      <c r="Z15" s="262">
        <f t="shared" si="4"/>
        <v>252410</v>
      </c>
      <c r="AA15" s="269">
        <f>Z15/Z27</f>
        <v>2.7598300563107674E-2</v>
      </c>
    </row>
    <row r="16" spans="1:27">
      <c r="A16" s="250" t="s">
        <v>247</v>
      </c>
      <c r="B16" s="315">
        <v>7272460</v>
      </c>
      <c r="C16" s="251">
        <v>0</v>
      </c>
      <c r="D16" s="315">
        <v>7272460</v>
      </c>
      <c r="E16" s="251">
        <v>0</v>
      </c>
      <c r="F16" s="315">
        <v>7272460</v>
      </c>
      <c r="G16" s="251">
        <f t="shared" si="5"/>
        <v>0</v>
      </c>
      <c r="H16" s="315">
        <v>7277700</v>
      </c>
      <c r="I16" s="251">
        <f t="shared" si="0"/>
        <v>5240</v>
      </c>
      <c r="J16" s="315">
        <v>7309520</v>
      </c>
      <c r="K16" s="251">
        <f t="shared" si="1"/>
        <v>31820</v>
      </c>
      <c r="L16" s="315">
        <v>7361870</v>
      </c>
      <c r="M16" s="251">
        <f t="shared" si="6"/>
        <v>52350</v>
      </c>
      <c r="N16" s="315">
        <v>7427250</v>
      </c>
      <c r="O16" s="251">
        <f t="shared" si="7"/>
        <v>65380</v>
      </c>
      <c r="P16" s="315">
        <v>7477490</v>
      </c>
      <c r="Q16" s="251">
        <f t="shared" si="8"/>
        <v>50240</v>
      </c>
      <c r="R16" s="315">
        <v>7527470</v>
      </c>
      <c r="S16" s="251">
        <f t="shared" si="9"/>
        <v>49980</v>
      </c>
      <c r="T16" s="315">
        <v>7548270</v>
      </c>
      <c r="U16" s="251">
        <f t="shared" si="10"/>
        <v>20800</v>
      </c>
      <c r="V16" s="315">
        <v>7562470</v>
      </c>
      <c r="W16" s="251">
        <f t="shared" si="2"/>
        <v>14200</v>
      </c>
      <c r="X16" s="315">
        <v>7562470</v>
      </c>
      <c r="Y16" s="251">
        <f t="shared" si="3"/>
        <v>0</v>
      </c>
      <c r="Z16" s="262">
        <f t="shared" si="4"/>
        <v>269210</v>
      </c>
      <c r="AA16" s="269">
        <f>Z16/Z27</f>
        <v>2.943519866326301E-2</v>
      </c>
    </row>
    <row r="17" spans="1:27">
      <c r="A17" s="253" t="s">
        <v>237</v>
      </c>
      <c r="B17" s="315">
        <v>2467240</v>
      </c>
      <c r="C17" s="251">
        <v>0</v>
      </c>
      <c r="D17" s="315">
        <v>2467240</v>
      </c>
      <c r="E17" s="251">
        <v>0</v>
      </c>
      <c r="F17" s="315">
        <v>2467240</v>
      </c>
      <c r="G17" s="251">
        <f t="shared" si="5"/>
        <v>0</v>
      </c>
      <c r="H17" s="315">
        <v>2469520</v>
      </c>
      <c r="I17" s="251">
        <f t="shared" si="0"/>
        <v>2280</v>
      </c>
      <c r="J17" s="315">
        <v>2487520</v>
      </c>
      <c r="K17" s="251">
        <f t="shared" si="1"/>
        <v>18000</v>
      </c>
      <c r="L17" s="315">
        <v>2515260</v>
      </c>
      <c r="M17" s="251">
        <f t="shared" si="6"/>
        <v>27740</v>
      </c>
      <c r="N17" s="315">
        <v>2558760</v>
      </c>
      <c r="O17" s="251">
        <f t="shared" si="7"/>
        <v>43500</v>
      </c>
      <c r="P17" s="315">
        <v>2606490</v>
      </c>
      <c r="Q17" s="251">
        <f t="shared" si="8"/>
        <v>47730</v>
      </c>
      <c r="R17" s="315">
        <v>2648670</v>
      </c>
      <c r="S17" s="251">
        <f t="shared" si="9"/>
        <v>42180</v>
      </c>
      <c r="T17" s="315">
        <v>2684430</v>
      </c>
      <c r="U17" s="251">
        <f t="shared" si="10"/>
        <v>35760</v>
      </c>
      <c r="V17" s="315">
        <v>2706500</v>
      </c>
      <c r="W17" s="251">
        <f t="shared" si="2"/>
        <v>22070</v>
      </c>
      <c r="X17" s="315">
        <v>2706500</v>
      </c>
      <c r="Y17" s="251">
        <f t="shared" si="3"/>
        <v>0</v>
      </c>
      <c r="Z17" s="262">
        <f t="shared" si="4"/>
        <v>203500</v>
      </c>
      <c r="AA17" s="269">
        <f>Z17/Z27</f>
        <v>2.2250521629857817E-2</v>
      </c>
    </row>
    <row r="18" spans="1:27">
      <c r="A18" s="414" t="s">
        <v>428</v>
      </c>
      <c r="B18" s="315"/>
      <c r="C18" s="251"/>
      <c r="D18" s="315"/>
      <c r="E18" s="251"/>
      <c r="F18" s="315"/>
      <c r="G18" s="251"/>
      <c r="H18" s="315"/>
      <c r="I18" s="251"/>
      <c r="J18" s="315"/>
      <c r="K18" s="251"/>
      <c r="L18" s="315"/>
      <c r="M18" s="251"/>
      <c r="N18" s="315"/>
      <c r="O18" s="251"/>
      <c r="P18" s="315" t="s">
        <v>13</v>
      </c>
      <c r="Q18" s="251"/>
      <c r="R18" s="315" t="s">
        <v>533</v>
      </c>
      <c r="S18" s="251"/>
      <c r="U18" s="251"/>
      <c r="Y18" s="251">
        <f t="shared" si="3"/>
        <v>0</v>
      </c>
      <c r="Z18" s="262"/>
      <c r="AA18" s="269"/>
    </row>
    <row r="19" spans="1:27">
      <c r="A19" s="250" t="s">
        <v>233</v>
      </c>
      <c r="B19" s="315">
        <v>9390200</v>
      </c>
      <c r="C19" s="251">
        <v>0</v>
      </c>
      <c r="D19" s="315">
        <v>9390200</v>
      </c>
      <c r="E19" s="251">
        <v>0</v>
      </c>
      <c r="F19" s="315">
        <v>9390200</v>
      </c>
      <c r="G19" s="251">
        <f t="shared" si="5"/>
        <v>0</v>
      </c>
      <c r="H19" s="315">
        <v>9440300</v>
      </c>
      <c r="I19" s="251">
        <f t="shared" si="0"/>
        <v>50100</v>
      </c>
      <c r="J19" s="315">
        <v>1999990</v>
      </c>
      <c r="K19" s="251">
        <v>510000</v>
      </c>
      <c r="L19" s="315">
        <v>1999990</v>
      </c>
      <c r="M19" s="251">
        <v>650000</v>
      </c>
      <c r="N19" s="315">
        <v>1999990</v>
      </c>
      <c r="O19" s="251">
        <v>660000</v>
      </c>
      <c r="P19" s="315">
        <v>31690</v>
      </c>
      <c r="Q19" s="251">
        <v>440000</v>
      </c>
      <c r="R19" s="315">
        <v>92670</v>
      </c>
      <c r="S19" s="251">
        <f t="shared" si="9"/>
        <v>60980</v>
      </c>
      <c r="T19" s="315">
        <v>146130</v>
      </c>
      <c r="U19" s="251">
        <f>T19-R19</f>
        <v>53460</v>
      </c>
      <c r="V19" s="315">
        <v>201840</v>
      </c>
      <c r="W19" s="251">
        <f t="shared" ref="W19:W26" si="11">V19-T19</f>
        <v>55710</v>
      </c>
      <c r="X19" s="315">
        <v>201840</v>
      </c>
      <c r="Y19" s="251">
        <f t="shared" si="3"/>
        <v>0</v>
      </c>
      <c r="Z19" s="262">
        <f>C19+E19+G19+I19+K19+M19+O19+Q19+S19+W20+Y19</f>
        <v>2394280</v>
      </c>
      <c r="AA19" s="269">
        <f>Z19/Z27</f>
        <v>0.26178859424047163</v>
      </c>
    </row>
    <row r="20" spans="1:27">
      <c r="A20" s="252" t="s">
        <v>248</v>
      </c>
      <c r="B20" s="315">
        <v>9700</v>
      </c>
      <c r="C20" s="251">
        <v>0</v>
      </c>
      <c r="D20" s="315">
        <v>9700</v>
      </c>
      <c r="E20" s="251">
        <v>0</v>
      </c>
      <c r="F20" s="315">
        <v>9700</v>
      </c>
      <c r="G20" s="251">
        <f t="shared" si="5"/>
        <v>0</v>
      </c>
      <c r="H20" s="315">
        <v>12130</v>
      </c>
      <c r="I20" s="251">
        <f t="shared" si="0"/>
        <v>2430</v>
      </c>
      <c r="J20" s="315">
        <v>33780</v>
      </c>
      <c r="K20" s="251">
        <f t="shared" si="1"/>
        <v>21650</v>
      </c>
      <c r="L20" s="315">
        <v>70950</v>
      </c>
      <c r="M20" s="251">
        <f t="shared" si="6"/>
        <v>37170</v>
      </c>
      <c r="N20" s="315">
        <v>119490</v>
      </c>
      <c r="O20" s="251">
        <f t="shared" si="7"/>
        <v>48540</v>
      </c>
      <c r="P20" s="315">
        <v>167670</v>
      </c>
      <c r="Q20" s="251">
        <f>P20-N20</f>
        <v>48180</v>
      </c>
      <c r="R20" s="315">
        <v>214340</v>
      </c>
      <c r="S20" s="251">
        <f>R20-P20</f>
        <v>46670</v>
      </c>
      <c r="T20" s="315">
        <v>254840</v>
      </c>
      <c r="U20" s="251">
        <f>T20-R20</f>
        <v>40500</v>
      </c>
      <c r="V20" s="315">
        <v>278040</v>
      </c>
      <c r="W20" s="251">
        <f t="shared" si="11"/>
        <v>23200</v>
      </c>
      <c r="X20" s="315">
        <v>278040</v>
      </c>
      <c r="Y20" s="251">
        <f t="shared" si="3"/>
        <v>0</v>
      </c>
      <c r="Z20" s="262">
        <f>C20+E20+G20+I20+K20+M20+O20+Q20+S20+W21+Y20</f>
        <v>252399</v>
      </c>
      <c r="AA20" s="269">
        <f>Z20/Z27</f>
        <v>2.7597097832208761E-2</v>
      </c>
    </row>
    <row r="21" spans="1:27">
      <c r="A21" s="252" t="s">
        <v>372</v>
      </c>
      <c r="B21" s="315">
        <v>2756660</v>
      </c>
      <c r="C21" s="251">
        <v>0</v>
      </c>
      <c r="D21" s="315">
        <v>2756660</v>
      </c>
      <c r="E21" s="251">
        <v>0</v>
      </c>
      <c r="F21" s="315">
        <v>2756660</v>
      </c>
      <c r="G21" s="251">
        <f t="shared" si="5"/>
        <v>0</v>
      </c>
      <c r="H21" s="315">
        <v>2812633</v>
      </c>
      <c r="I21" s="251">
        <f t="shared" si="0"/>
        <v>55973</v>
      </c>
      <c r="J21" s="315">
        <v>2892571</v>
      </c>
      <c r="K21" s="251">
        <f t="shared" si="1"/>
        <v>79938</v>
      </c>
      <c r="L21" s="315">
        <v>2983231</v>
      </c>
      <c r="M21" s="251">
        <f t="shared" si="6"/>
        <v>90660</v>
      </c>
      <c r="N21" s="315">
        <v>3073702</v>
      </c>
      <c r="O21" s="251">
        <f t="shared" si="7"/>
        <v>90471</v>
      </c>
      <c r="P21" s="315">
        <v>3175486</v>
      </c>
      <c r="Q21" s="251">
        <f>P21-N21</f>
        <v>101784</v>
      </c>
      <c r="R21" s="315">
        <v>3282554</v>
      </c>
      <c r="S21" s="251">
        <f>R21-P21</f>
        <v>107068</v>
      </c>
      <c r="T21" s="315">
        <v>3365943</v>
      </c>
      <c r="U21" s="251">
        <f>T21-R21</f>
        <v>83389</v>
      </c>
      <c r="V21" s="315">
        <v>3413702</v>
      </c>
      <c r="W21" s="251">
        <f t="shared" si="11"/>
        <v>47759</v>
      </c>
      <c r="X21" s="315">
        <v>3413702</v>
      </c>
      <c r="Y21" s="251">
        <f t="shared" si="3"/>
        <v>0</v>
      </c>
      <c r="Z21" s="262">
        <f>C21+E21+G21+I21+K21+M21+O21+Q21+S21+W22+Y21</f>
        <v>726094</v>
      </c>
      <c r="AA21" s="269">
        <f>Z21/Z27</f>
        <v>7.9390517210368453E-2</v>
      </c>
    </row>
    <row r="22" spans="1:27">
      <c r="A22" s="252" t="s">
        <v>242</v>
      </c>
      <c r="B22" s="315">
        <v>23043400</v>
      </c>
      <c r="C22" s="251">
        <v>0</v>
      </c>
      <c r="D22" s="315">
        <v>23043400</v>
      </c>
      <c r="E22" s="251">
        <v>0</v>
      </c>
      <c r="F22" s="315">
        <v>23043400</v>
      </c>
      <c r="G22" s="251">
        <f t="shared" si="5"/>
        <v>0</v>
      </c>
      <c r="H22" s="315">
        <v>23051900</v>
      </c>
      <c r="I22" s="251">
        <f t="shared" si="0"/>
        <v>8500</v>
      </c>
      <c r="J22" s="315">
        <v>23176400</v>
      </c>
      <c r="K22" s="251">
        <f t="shared" si="1"/>
        <v>124500</v>
      </c>
      <c r="L22" s="315">
        <v>23384600</v>
      </c>
      <c r="M22" s="251">
        <f t="shared" si="6"/>
        <v>208200</v>
      </c>
      <c r="N22" s="315">
        <v>23858200</v>
      </c>
      <c r="O22" s="251">
        <f t="shared" si="7"/>
        <v>473600</v>
      </c>
      <c r="P22" s="315">
        <v>24573600</v>
      </c>
      <c r="Q22" s="251">
        <f>P22-N22</f>
        <v>715400</v>
      </c>
      <c r="R22" s="315">
        <v>25139200</v>
      </c>
      <c r="S22" s="251">
        <f>R22-P22</f>
        <v>565600</v>
      </c>
      <c r="T22" s="315">
        <v>25474100</v>
      </c>
      <c r="U22" s="251">
        <f>T22-R22</f>
        <v>334900</v>
      </c>
      <c r="V22" s="315">
        <v>25674300</v>
      </c>
      <c r="W22" s="251">
        <f t="shared" si="11"/>
        <v>200200</v>
      </c>
      <c r="X22" s="315">
        <v>25674300</v>
      </c>
      <c r="Y22" s="251">
        <f t="shared" si="3"/>
        <v>0</v>
      </c>
      <c r="Z22" s="262">
        <f>C22+E22+G22+I22+K22+M22+O22+Q22+S22+W23+Y22</f>
        <v>2095800</v>
      </c>
      <c r="AA22" s="269">
        <f>Z22/Z27</f>
        <v>0.22915303799437844</v>
      </c>
    </row>
    <row r="23" spans="1:27">
      <c r="A23" s="252" t="s">
        <v>239</v>
      </c>
      <c r="B23" s="315">
        <v>0</v>
      </c>
      <c r="C23" s="251">
        <v>0</v>
      </c>
      <c r="D23" s="315">
        <v>0</v>
      </c>
      <c r="E23" s="251">
        <v>0</v>
      </c>
      <c r="F23" s="315">
        <v>0</v>
      </c>
      <c r="G23" s="251">
        <f t="shared" si="5"/>
        <v>0</v>
      </c>
      <c r="H23" s="315"/>
      <c r="I23" s="251">
        <f t="shared" si="0"/>
        <v>0</v>
      </c>
      <c r="J23" s="315"/>
      <c r="K23" s="251">
        <f t="shared" si="1"/>
        <v>0</v>
      </c>
      <c r="L23" s="315"/>
      <c r="M23" s="251">
        <f t="shared" si="6"/>
        <v>0</v>
      </c>
      <c r="N23" s="315"/>
      <c r="O23" s="251">
        <f t="shared" si="7"/>
        <v>0</v>
      </c>
      <c r="P23" s="315">
        <v>0</v>
      </c>
      <c r="Q23" s="251">
        <f t="shared" si="8"/>
        <v>0</v>
      </c>
      <c r="R23" s="315">
        <v>0</v>
      </c>
      <c r="S23" s="251">
        <f t="shared" si="9"/>
        <v>0</v>
      </c>
      <c r="W23" s="251">
        <f t="shared" si="11"/>
        <v>0</v>
      </c>
      <c r="Y23" s="251">
        <f t="shared" si="3"/>
        <v>0</v>
      </c>
      <c r="Z23" s="262">
        <f>C23+E23+G23+I23+K23+M23+O23+Q23+S23+W23+Y23</f>
        <v>0</v>
      </c>
      <c r="AA23" s="269">
        <f>Z23/Z27</f>
        <v>0</v>
      </c>
    </row>
    <row r="24" spans="1:27">
      <c r="A24" s="252" t="s">
        <v>236</v>
      </c>
      <c r="B24" s="315">
        <v>6998900</v>
      </c>
      <c r="C24" s="251">
        <v>0</v>
      </c>
      <c r="D24" s="315">
        <v>6998900</v>
      </c>
      <c r="E24" s="251">
        <v>0</v>
      </c>
      <c r="F24" s="315">
        <v>6998900</v>
      </c>
      <c r="G24" s="251">
        <f t="shared" si="5"/>
        <v>0</v>
      </c>
      <c r="H24" s="315">
        <v>7019450</v>
      </c>
      <c r="I24" s="251">
        <f t="shared" si="0"/>
        <v>20550</v>
      </c>
      <c r="J24" s="315">
        <v>7042090</v>
      </c>
      <c r="K24" s="251">
        <f t="shared" si="1"/>
        <v>22640</v>
      </c>
      <c r="L24" s="315">
        <v>7093440</v>
      </c>
      <c r="M24" s="251">
        <f t="shared" si="6"/>
        <v>51350</v>
      </c>
      <c r="N24" s="315">
        <v>7221400</v>
      </c>
      <c r="O24" s="251">
        <f t="shared" si="7"/>
        <v>127960</v>
      </c>
      <c r="P24" s="315">
        <v>7296550</v>
      </c>
      <c r="Q24" s="251">
        <f t="shared" si="8"/>
        <v>75150</v>
      </c>
      <c r="R24" s="315">
        <v>7296560</v>
      </c>
      <c r="S24" s="251">
        <f t="shared" si="9"/>
        <v>10</v>
      </c>
      <c r="T24" s="315">
        <v>7296560</v>
      </c>
      <c r="U24" s="251">
        <f>T24-R24</f>
        <v>0</v>
      </c>
      <c r="V24" s="315">
        <v>7296560</v>
      </c>
      <c r="W24" s="251">
        <f t="shared" si="11"/>
        <v>0</v>
      </c>
      <c r="X24" s="315">
        <v>7296560</v>
      </c>
      <c r="Y24" s="251">
        <f t="shared" si="3"/>
        <v>0</v>
      </c>
      <c r="Z24" s="262">
        <f>C24+E24+G24+I24+K24+M24+O24+Q24+S24+W24+Y24</f>
        <v>297660</v>
      </c>
      <c r="AA24" s="269">
        <f>Z24/Z27</f>
        <v>3.2545898124537974E-2</v>
      </c>
    </row>
    <row r="25" spans="1:27">
      <c r="A25" s="250" t="s">
        <v>251</v>
      </c>
      <c r="B25" s="315">
        <v>3367610</v>
      </c>
      <c r="C25" s="251">
        <v>0</v>
      </c>
      <c r="D25" s="315">
        <v>3367610</v>
      </c>
      <c r="E25" s="251">
        <v>0</v>
      </c>
      <c r="F25" s="315">
        <v>3367610</v>
      </c>
      <c r="G25" s="251">
        <f t="shared" si="5"/>
        <v>0</v>
      </c>
      <c r="H25" s="315">
        <v>3368650</v>
      </c>
      <c r="I25" s="251">
        <f t="shared" si="0"/>
        <v>1040</v>
      </c>
      <c r="J25" s="315">
        <v>3378480</v>
      </c>
      <c r="K25" s="251">
        <f t="shared" si="1"/>
        <v>9830</v>
      </c>
      <c r="L25" s="315">
        <v>3394930</v>
      </c>
      <c r="M25" s="251">
        <f t="shared" si="6"/>
        <v>16450</v>
      </c>
      <c r="N25" s="315">
        <v>3416010</v>
      </c>
      <c r="O25" s="251">
        <f t="shared" si="7"/>
        <v>21080</v>
      </c>
      <c r="P25" s="315">
        <v>3438910</v>
      </c>
      <c r="Q25" s="251">
        <f t="shared" si="8"/>
        <v>22900</v>
      </c>
      <c r="R25" s="315">
        <v>3459750</v>
      </c>
      <c r="S25" s="251">
        <f t="shared" si="9"/>
        <v>20840</v>
      </c>
      <c r="T25" s="315">
        <v>3478470</v>
      </c>
      <c r="U25" s="251">
        <f>T25-R25</f>
        <v>18720</v>
      </c>
      <c r="V25" s="315">
        <v>3491990</v>
      </c>
      <c r="W25" s="251">
        <f t="shared" si="11"/>
        <v>13520</v>
      </c>
      <c r="X25" s="315">
        <v>3491990</v>
      </c>
      <c r="Y25" s="251">
        <f t="shared" si="3"/>
        <v>0</v>
      </c>
      <c r="Z25" s="262">
        <f>C25+E25+G25+I25+K25+M25+O25+Q25+S25+W25+Y25</f>
        <v>105660</v>
      </c>
      <c r="AA25" s="269">
        <f>Z25/Z27</f>
        <v>1.1552776979905538E-2</v>
      </c>
    </row>
    <row r="26" spans="1:27" ht="13.5" thickBot="1">
      <c r="A26" s="254" t="s">
        <v>243</v>
      </c>
      <c r="B26" s="315">
        <v>0</v>
      </c>
      <c r="C26" s="255">
        <v>0</v>
      </c>
      <c r="D26" s="315">
        <v>0</v>
      </c>
      <c r="E26" s="255">
        <v>0</v>
      </c>
      <c r="F26" s="315">
        <v>0</v>
      </c>
      <c r="G26" s="255">
        <f t="shared" si="5"/>
        <v>0</v>
      </c>
      <c r="H26" s="315"/>
      <c r="I26" s="255">
        <f t="shared" si="0"/>
        <v>0</v>
      </c>
      <c r="J26" s="315"/>
      <c r="K26" s="255">
        <f t="shared" si="1"/>
        <v>0</v>
      </c>
      <c r="L26" s="315"/>
      <c r="M26" s="255">
        <f t="shared" si="6"/>
        <v>0</v>
      </c>
      <c r="N26" s="315">
        <v>40300</v>
      </c>
      <c r="O26" s="255">
        <f t="shared" si="7"/>
        <v>40300</v>
      </c>
      <c r="P26" s="315">
        <v>98630</v>
      </c>
      <c r="Q26" s="255">
        <f t="shared" si="8"/>
        <v>58330</v>
      </c>
      <c r="R26" s="315">
        <v>158390</v>
      </c>
      <c r="S26" s="255">
        <f t="shared" si="9"/>
        <v>59760</v>
      </c>
      <c r="T26" s="315">
        <v>213710</v>
      </c>
      <c r="U26" s="255">
        <f>T26-R26</f>
        <v>55320</v>
      </c>
      <c r="V26" s="315">
        <v>247590</v>
      </c>
      <c r="W26" s="255">
        <f t="shared" si="11"/>
        <v>33880</v>
      </c>
      <c r="X26" s="315">
        <v>247590</v>
      </c>
      <c r="Y26" s="255">
        <f t="shared" si="3"/>
        <v>0</v>
      </c>
      <c r="Z26" s="263">
        <f>C26+E26+G26+I26+K26+M26+O26+Q26+S26+W26+Y26</f>
        <v>192270</v>
      </c>
      <c r="AA26" s="270">
        <f>Z26/Z27</f>
        <v>2.1022642721242074E-2</v>
      </c>
    </row>
    <row r="27" spans="1:27" s="84" customFormat="1">
      <c r="B27" s="352">
        <f t="shared" ref="B27:G27" si="12">SUM(B5:B26)</f>
        <v>90108980</v>
      </c>
      <c r="C27" s="256">
        <f t="shared" si="12"/>
        <v>0</v>
      </c>
      <c r="D27" s="256">
        <f t="shared" si="12"/>
        <v>90108980</v>
      </c>
      <c r="E27" s="256">
        <f t="shared" si="12"/>
        <v>0</v>
      </c>
      <c r="F27" s="256">
        <f t="shared" si="12"/>
        <v>90108980</v>
      </c>
      <c r="G27" s="256">
        <f t="shared" si="12"/>
        <v>0</v>
      </c>
      <c r="H27" s="256">
        <f t="shared" ref="H27:AA27" si="13">SUM(H5:H26)</f>
        <v>90318473</v>
      </c>
      <c r="I27" s="256">
        <f t="shared" si="13"/>
        <v>209493</v>
      </c>
      <c r="J27" s="256">
        <f t="shared" si="13"/>
        <v>83439631</v>
      </c>
      <c r="K27" s="256">
        <f t="shared" si="13"/>
        <v>1071468</v>
      </c>
      <c r="L27" s="256">
        <f t="shared" si="13"/>
        <v>84326131</v>
      </c>
      <c r="M27" s="256">
        <f t="shared" si="13"/>
        <v>1536500</v>
      </c>
      <c r="N27" s="256">
        <f t="shared" si="13"/>
        <v>85798992</v>
      </c>
      <c r="O27" s="256">
        <f t="shared" si="13"/>
        <v>2132861</v>
      </c>
      <c r="P27" s="256">
        <f t="shared" si="13"/>
        <v>85487286</v>
      </c>
      <c r="Q27" s="256">
        <f t="shared" si="13"/>
        <v>2096594</v>
      </c>
      <c r="R27" s="256">
        <f t="shared" si="13"/>
        <v>86932484</v>
      </c>
      <c r="S27" s="256">
        <f t="shared" si="13"/>
        <v>1445198</v>
      </c>
      <c r="T27" s="256">
        <f>SUM(T5:T26)</f>
        <v>87977523</v>
      </c>
      <c r="U27" s="256">
        <f t="shared" si="13"/>
        <v>1045039</v>
      </c>
      <c r="V27" s="256">
        <f>SUM(V5:V26)</f>
        <v>88686972</v>
      </c>
      <c r="W27" s="256">
        <f t="shared" si="13"/>
        <v>709449</v>
      </c>
      <c r="X27" s="256">
        <f>SUM(X5:X26)</f>
        <v>88686972</v>
      </c>
      <c r="Y27" s="256">
        <f t="shared" si="13"/>
        <v>0</v>
      </c>
      <c r="Z27" s="256">
        <f t="shared" si="13"/>
        <v>9145853</v>
      </c>
      <c r="AA27" s="361">
        <f t="shared" si="13"/>
        <v>1</v>
      </c>
    </row>
    <row r="29" spans="1:27">
      <c r="R29" s="362"/>
    </row>
  </sheetData>
  <phoneticPr fontId="0" type="noConversion"/>
  <printOptions horizontalCentered="1"/>
  <pageMargins left="0.5" right="0.5" top="2.5" bottom="0.5" header="0.25" footer="0.25"/>
  <pageSetup orientation="landscape" r:id="rId1"/>
  <headerFooter alignWithMargins="0">
    <oddHeader>&amp;C&amp;"Arial,Bold"&amp;14
Condensate By Building
2012-2013</oddHeader>
    <oddFooter>Page &amp;P</oddFooter>
  </headerFooter>
  <colBreaks count="2" manualBreakCount="2">
    <brk id="11" max="1048575" man="1"/>
    <brk id="19" max="1048575" man="1"/>
  </colBreaks>
</worksheet>
</file>

<file path=xl/worksheets/sheet17.xml><?xml version="1.0" encoding="utf-8"?>
<worksheet xmlns="http://schemas.openxmlformats.org/spreadsheetml/2006/main" xmlns:r="http://schemas.openxmlformats.org/officeDocument/2006/relationships">
  <sheetPr codeName="Sheet24"/>
  <dimension ref="A1:AB210"/>
  <sheetViews>
    <sheetView view="pageLayout" topLeftCell="L21" zoomScaleNormal="100" zoomScaleSheetLayoutView="100" workbookViewId="0">
      <selection activeCell="S44" sqref="S44"/>
    </sheetView>
  </sheetViews>
  <sheetFormatPr defaultRowHeight="12.75"/>
  <cols>
    <col min="1" max="1" width="24" customWidth="1"/>
    <col min="2" max="3" width="9" bestFit="1" customWidth="1"/>
    <col min="4" max="4" width="10.7109375" customWidth="1"/>
    <col min="5" max="5" width="9.85546875" bestFit="1" customWidth="1"/>
    <col min="6" max="6" width="11" customWidth="1"/>
    <col min="7" max="7" width="9" bestFit="1" customWidth="1"/>
    <col min="8" max="8" width="10.85546875" customWidth="1"/>
    <col min="10" max="10" width="10.7109375" customWidth="1"/>
    <col min="12" max="12" width="10.140625" customWidth="1"/>
    <col min="13" max="13" width="9.42578125" bestFit="1" customWidth="1"/>
    <col min="14" max="14" width="10.42578125" customWidth="1"/>
    <col min="15" max="15" width="10.140625" bestFit="1" customWidth="1"/>
    <col min="16" max="16" width="11.140625" customWidth="1"/>
    <col min="17" max="17" width="11.42578125" bestFit="1" customWidth="1"/>
    <col min="18" max="18" width="11.140625" customWidth="1"/>
    <col min="19" max="19" width="11.42578125" bestFit="1" customWidth="1"/>
    <col min="20" max="20" width="11" bestFit="1" customWidth="1"/>
    <col min="21" max="21" width="11.42578125" style="84" bestFit="1" customWidth="1"/>
    <col min="22" max="22" width="11.140625" customWidth="1"/>
    <col min="23" max="23" width="11.28515625" bestFit="1" customWidth="1"/>
    <col min="24" max="24" width="10.7109375" customWidth="1"/>
    <col min="25" max="25" width="11.28515625" bestFit="1" customWidth="1"/>
    <col min="26" max="26" width="10.28515625" customWidth="1"/>
    <col min="27" max="27" width="11.28515625" customWidth="1"/>
    <col min="28" max="28" width="9" bestFit="1" customWidth="1"/>
  </cols>
  <sheetData>
    <row r="1" spans="1:28">
      <c r="A1" s="552" t="s">
        <v>253</v>
      </c>
      <c r="B1" s="553" t="s">
        <v>193</v>
      </c>
      <c r="C1" s="605" t="s">
        <v>53</v>
      </c>
      <c r="D1" s="606"/>
      <c r="E1" s="607" t="s">
        <v>54</v>
      </c>
      <c r="F1" s="606"/>
      <c r="G1" s="607" t="s">
        <v>55</v>
      </c>
      <c r="H1" s="606"/>
      <c r="I1" s="607" t="s">
        <v>56</v>
      </c>
      <c r="J1" s="606"/>
      <c r="K1" s="605" t="s">
        <v>57</v>
      </c>
      <c r="L1" s="609"/>
      <c r="M1" s="608" t="s">
        <v>58</v>
      </c>
      <c r="N1" s="609"/>
      <c r="O1" s="608" t="s">
        <v>59</v>
      </c>
      <c r="P1" s="609"/>
      <c r="Q1" s="608" t="s">
        <v>254</v>
      </c>
      <c r="R1" s="609"/>
      <c r="S1" s="608" t="s">
        <v>61</v>
      </c>
      <c r="T1" s="609"/>
      <c r="U1" s="608" t="s">
        <v>62</v>
      </c>
      <c r="V1" s="609"/>
      <c r="W1" s="608" t="s">
        <v>255</v>
      </c>
      <c r="X1" s="609"/>
      <c r="Y1" s="608" t="s">
        <v>256</v>
      </c>
      <c r="Z1" s="609"/>
      <c r="AA1" s="553" t="s">
        <v>257</v>
      </c>
      <c r="AB1" s="554" t="s">
        <v>258</v>
      </c>
    </row>
    <row r="2" spans="1:28">
      <c r="A2" s="555" t="s">
        <v>259</v>
      </c>
      <c r="B2" s="556">
        <v>41065</v>
      </c>
      <c r="C2" s="557">
        <v>41092</v>
      </c>
      <c r="D2" s="558"/>
      <c r="E2" s="559">
        <v>41122</v>
      </c>
      <c r="F2" s="558"/>
      <c r="G2" s="559">
        <v>41156</v>
      </c>
      <c r="H2" s="560"/>
      <c r="I2" s="559">
        <v>41183</v>
      </c>
      <c r="J2" s="560"/>
      <c r="K2" s="561">
        <v>41214</v>
      </c>
      <c r="L2" s="562"/>
      <c r="M2" s="563">
        <v>41246</v>
      </c>
      <c r="N2" s="564"/>
      <c r="O2" s="556">
        <v>41276</v>
      </c>
      <c r="P2" s="565"/>
      <c r="Q2" s="561">
        <v>41308</v>
      </c>
      <c r="R2" s="561"/>
      <c r="S2" s="556">
        <v>41334</v>
      </c>
      <c r="T2" s="562"/>
      <c r="U2" s="563">
        <v>41365</v>
      </c>
      <c r="V2" s="564"/>
      <c r="W2" s="563">
        <v>41395</v>
      </c>
      <c r="X2" s="564"/>
      <c r="Y2" s="556">
        <v>41425</v>
      </c>
      <c r="Z2" s="562"/>
      <c r="AA2" s="566"/>
      <c r="AB2" s="567"/>
    </row>
    <row r="3" spans="1:28" s="70" customFormat="1">
      <c r="A3" s="568"/>
      <c r="B3" s="569" t="s">
        <v>260</v>
      </c>
      <c r="C3" s="570" t="s">
        <v>260</v>
      </c>
      <c r="D3" s="569" t="s">
        <v>194</v>
      </c>
      <c r="E3" s="569" t="s">
        <v>260</v>
      </c>
      <c r="F3" s="569" t="s">
        <v>194</v>
      </c>
      <c r="G3" s="569" t="s">
        <v>260</v>
      </c>
      <c r="H3" s="569" t="s">
        <v>194</v>
      </c>
      <c r="I3" s="569" t="s">
        <v>260</v>
      </c>
      <c r="J3" s="569" t="s">
        <v>194</v>
      </c>
      <c r="K3" s="569" t="s">
        <v>260</v>
      </c>
      <c r="L3" s="569" t="s">
        <v>194</v>
      </c>
      <c r="M3" s="571" t="s">
        <v>260</v>
      </c>
      <c r="N3" s="571" t="s">
        <v>194</v>
      </c>
      <c r="O3" s="569" t="s">
        <v>260</v>
      </c>
      <c r="P3" s="569" t="s">
        <v>194</v>
      </c>
      <c r="Q3" s="569" t="s">
        <v>260</v>
      </c>
      <c r="R3" s="569" t="s">
        <v>194</v>
      </c>
      <c r="S3" s="569" t="s">
        <v>260</v>
      </c>
      <c r="T3" s="569" t="s">
        <v>194</v>
      </c>
      <c r="U3" s="571" t="s">
        <v>260</v>
      </c>
      <c r="V3" s="571" t="s">
        <v>194</v>
      </c>
      <c r="W3" s="571" t="s">
        <v>260</v>
      </c>
      <c r="X3" s="571" t="s">
        <v>194</v>
      </c>
      <c r="Y3" s="569" t="s">
        <v>260</v>
      </c>
      <c r="Z3" s="569" t="s">
        <v>194</v>
      </c>
      <c r="AA3" s="571" t="s">
        <v>30</v>
      </c>
      <c r="AB3" s="572" t="s">
        <v>261</v>
      </c>
    </row>
    <row r="4" spans="1:28" s="353" customFormat="1">
      <c r="A4" s="573" t="s">
        <v>266</v>
      </c>
      <c r="B4" s="574"/>
      <c r="C4" s="574"/>
      <c r="D4" s="575"/>
      <c r="E4" s="574"/>
      <c r="F4" s="575">
        <f>SUM(E4-C4)*20</f>
        <v>0</v>
      </c>
      <c r="G4" s="574"/>
      <c r="H4" s="575">
        <f>SUM(G4-E4)*20</f>
        <v>0</v>
      </c>
      <c r="I4" s="574"/>
      <c r="J4" s="575">
        <f>SUM(I4-G4)*20</f>
        <v>0</v>
      </c>
      <c r="K4" s="574"/>
      <c r="L4" s="575">
        <f>SUM(K4-I4)*20</f>
        <v>0</v>
      </c>
      <c r="M4" s="574"/>
      <c r="N4" s="575">
        <f>SUM(M4-K4)*20</f>
        <v>0</v>
      </c>
      <c r="O4" s="574"/>
      <c r="P4" s="575">
        <f>SUM(O4-M4)*20</f>
        <v>0</v>
      </c>
      <c r="Q4" s="574"/>
      <c r="R4" s="575">
        <f>SUM(Q4-O4)*20</f>
        <v>0</v>
      </c>
      <c r="S4" s="574"/>
      <c r="T4" s="575">
        <f>SUM(S4-Q4)*20</f>
        <v>0</v>
      </c>
      <c r="U4" s="574"/>
      <c r="V4" s="575">
        <f>SUM(U4-S4)*20</f>
        <v>0</v>
      </c>
      <c r="W4" s="574"/>
      <c r="X4" s="575">
        <f>SUM(W4-U4)*20</f>
        <v>0</v>
      </c>
      <c r="Y4" s="574"/>
      <c r="Z4" s="575">
        <f>SUM(Y4-W4)*20</f>
        <v>0</v>
      </c>
      <c r="AA4" s="576">
        <f t="shared" ref="AA4:AA17" si="0">SUM(D4+F4+H4+J4+L4+N4+P4+R4+T4+V4+X4+Z4)</f>
        <v>0</v>
      </c>
      <c r="AB4" s="577">
        <f t="shared" ref="AB4:AB23" si="1">(AA4/$AA$31)</f>
        <v>0</v>
      </c>
    </row>
    <row r="5" spans="1:28" s="353" customFormat="1">
      <c r="A5" s="573" t="s">
        <v>262</v>
      </c>
      <c r="B5" s="574"/>
      <c r="C5" s="574"/>
      <c r="D5" s="575"/>
      <c r="E5" s="574"/>
      <c r="F5" s="575">
        <f>SUM(E5-C5)*20</f>
        <v>0</v>
      </c>
      <c r="G5" s="574"/>
      <c r="H5" s="575">
        <f>SUM(G5-E5)*20</f>
        <v>0</v>
      </c>
      <c r="I5" s="574"/>
      <c r="J5" s="575">
        <f>SUM(I5-G5)*20</f>
        <v>0</v>
      </c>
      <c r="K5" s="574"/>
      <c r="L5" s="575">
        <f>SUM(K5-I5)*20</f>
        <v>0</v>
      </c>
      <c r="M5" s="574"/>
      <c r="N5" s="575">
        <f>SUM(M5-K5)*20</f>
        <v>0</v>
      </c>
      <c r="O5" s="574"/>
      <c r="P5" s="575">
        <v>0</v>
      </c>
      <c r="Q5" s="574"/>
      <c r="R5" s="575">
        <f>SUM(Q5-O5)*20</f>
        <v>0</v>
      </c>
      <c r="S5" s="574"/>
      <c r="T5" s="575">
        <f>SUM(S5-Q5)*20</f>
        <v>0</v>
      </c>
      <c r="U5" s="574"/>
      <c r="V5" s="575">
        <f>SUM(U5-S5)*20</f>
        <v>0</v>
      </c>
      <c r="W5" s="574"/>
      <c r="X5" s="575">
        <f>SUM(W5-U5)*20</f>
        <v>0</v>
      </c>
      <c r="Y5" s="574"/>
      <c r="Z5" s="575">
        <f>SUM(Y5-W5)*20</f>
        <v>0</v>
      </c>
      <c r="AA5" s="576">
        <f t="shared" si="0"/>
        <v>0</v>
      </c>
      <c r="AB5" s="577">
        <f t="shared" si="1"/>
        <v>0</v>
      </c>
    </row>
    <row r="6" spans="1:28">
      <c r="A6" s="573" t="s">
        <v>268</v>
      </c>
      <c r="B6" s="574"/>
      <c r="C6" s="574"/>
      <c r="D6" s="575"/>
      <c r="E6" s="574"/>
      <c r="F6" s="575">
        <f>SUM(E6-C6)*20</f>
        <v>0</v>
      </c>
      <c r="G6" s="574"/>
      <c r="H6" s="575">
        <f>SUM(G6-E6)*20</f>
        <v>0</v>
      </c>
      <c r="I6" s="574"/>
      <c r="J6" s="575">
        <f>SUM(I6-G6)*20</f>
        <v>0</v>
      </c>
      <c r="K6" s="574"/>
      <c r="L6" s="575">
        <f>SUM(K6-I6)*20</f>
        <v>0</v>
      </c>
      <c r="M6" s="574"/>
      <c r="N6" s="575">
        <f>SUM(M6-K6)*20</f>
        <v>0</v>
      </c>
      <c r="O6" s="574"/>
      <c r="P6" s="575">
        <f>SUM(O6-M6)*20</f>
        <v>0</v>
      </c>
      <c r="Q6" s="574"/>
      <c r="R6" s="575">
        <f>SUM(Q6-O6)*20</f>
        <v>0</v>
      </c>
      <c r="S6" s="574"/>
      <c r="T6" s="575">
        <f>SUM(S6-Q6)*20</f>
        <v>0</v>
      </c>
      <c r="U6" s="574"/>
      <c r="V6" s="575">
        <f>SUM(U6-S6)*20</f>
        <v>0</v>
      </c>
      <c r="W6" s="574"/>
      <c r="X6" s="575">
        <f>SUM(W6-U6)*20</f>
        <v>0</v>
      </c>
      <c r="Y6" s="574"/>
      <c r="Z6" s="575">
        <f>SUM(Y6-W6)*20</f>
        <v>0</v>
      </c>
      <c r="AA6" s="576">
        <f t="shared" si="0"/>
        <v>0</v>
      </c>
      <c r="AB6" s="577">
        <f t="shared" si="1"/>
        <v>0</v>
      </c>
    </row>
    <row r="7" spans="1:28">
      <c r="A7" s="552" t="s">
        <v>267</v>
      </c>
      <c r="B7" s="574"/>
      <c r="C7" s="574"/>
      <c r="D7" s="578"/>
      <c r="E7" s="574"/>
      <c r="F7" s="578">
        <f>SUM(E7-C7)*20</f>
        <v>0</v>
      </c>
      <c r="G7" s="574"/>
      <c r="H7" s="578">
        <f>SUM(G7-E7)*20</f>
        <v>0</v>
      </c>
      <c r="I7" s="574"/>
      <c r="J7" s="578">
        <f>SUM(I7-G7)*20</f>
        <v>0</v>
      </c>
      <c r="K7" s="574"/>
      <c r="L7" s="578">
        <f>SUM(K7-I7)*20</f>
        <v>0</v>
      </c>
      <c r="M7" s="574"/>
      <c r="N7" s="578">
        <f>SUM(M7-K7)*20</f>
        <v>0</v>
      </c>
      <c r="O7" s="574"/>
      <c r="P7" s="578">
        <f>SUM(O7-M7)*20</f>
        <v>0</v>
      </c>
      <c r="Q7" s="574"/>
      <c r="R7" s="578">
        <f>SUM(Q7-O7)*20</f>
        <v>0</v>
      </c>
      <c r="S7" s="574"/>
      <c r="T7" s="578">
        <f>SUM(S7-Q7)*20</f>
        <v>0</v>
      </c>
      <c r="U7" s="574"/>
      <c r="V7" s="578">
        <f>SUM(U7-S7)*20</f>
        <v>0</v>
      </c>
      <c r="W7" s="574"/>
      <c r="X7" s="578">
        <f>SUM(W7-U7)*20</f>
        <v>0</v>
      </c>
      <c r="Y7" s="574"/>
      <c r="Z7" s="578">
        <f>SUM(Y7-W7)*20</f>
        <v>0</v>
      </c>
      <c r="AA7" s="576">
        <f t="shared" si="0"/>
        <v>0</v>
      </c>
      <c r="AB7" s="579">
        <f t="shared" si="1"/>
        <v>0</v>
      </c>
    </row>
    <row r="8" spans="1:28">
      <c r="A8" s="552" t="s">
        <v>234</v>
      </c>
      <c r="B8" s="574"/>
      <c r="C8" s="574"/>
      <c r="D8" s="578"/>
      <c r="E8" s="574"/>
      <c r="F8" s="578">
        <f>SUM(E8-C8)*30</f>
        <v>0</v>
      </c>
      <c r="G8" s="574"/>
      <c r="H8" s="578">
        <f>SUM(G8-E8)*30</f>
        <v>0</v>
      </c>
      <c r="I8" s="574"/>
      <c r="J8" s="578">
        <f>SUM(I8-G8)*30</f>
        <v>0</v>
      </c>
      <c r="K8" s="574"/>
      <c r="L8" s="578">
        <f>SUM(K8-I8)*30</f>
        <v>0</v>
      </c>
      <c r="M8" s="574"/>
      <c r="N8" s="578">
        <f>SUM(M8-K8)*30</f>
        <v>0</v>
      </c>
      <c r="O8" s="574"/>
      <c r="P8" s="578">
        <f>SUM(O8-M8)*30</f>
        <v>0</v>
      </c>
      <c r="Q8" s="574"/>
      <c r="R8" s="578">
        <f>SUM(Q8-O8)*30</f>
        <v>0</v>
      </c>
      <c r="S8" s="574"/>
      <c r="T8" s="578">
        <f>SUM(S8-Q8)*30</f>
        <v>0</v>
      </c>
      <c r="U8" s="574"/>
      <c r="V8" s="578">
        <f>SUM(U8-S8)*30</f>
        <v>0</v>
      </c>
      <c r="W8" s="574"/>
      <c r="X8" s="578">
        <f>SUM(W8-U8)*30</f>
        <v>0</v>
      </c>
      <c r="Y8" s="574"/>
      <c r="Z8" s="578">
        <f>SUM(Y8-W8)*30</f>
        <v>0</v>
      </c>
      <c r="AA8" s="580">
        <f t="shared" si="0"/>
        <v>0</v>
      </c>
      <c r="AB8" s="579">
        <f t="shared" si="1"/>
        <v>0</v>
      </c>
    </row>
    <row r="9" spans="1:28">
      <c r="A9" s="552" t="s">
        <v>263</v>
      </c>
      <c r="B9" s="574"/>
      <c r="C9" s="574"/>
      <c r="D9" s="578"/>
      <c r="E9" s="574"/>
      <c r="F9" s="578">
        <f>SUM(E9-C9)*30</f>
        <v>0</v>
      </c>
      <c r="G9" s="574"/>
      <c r="H9" s="578">
        <f>SUM(G9-E9)*30</f>
        <v>0</v>
      </c>
      <c r="I9" s="574"/>
      <c r="J9" s="578">
        <f>SUM(I9-G9)*30</f>
        <v>0</v>
      </c>
      <c r="K9" s="574"/>
      <c r="L9" s="578">
        <f>SUM(K9-I9)*30</f>
        <v>0</v>
      </c>
      <c r="M9" s="574"/>
      <c r="N9" s="578">
        <f>SUM(M9-K9)*30</f>
        <v>0</v>
      </c>
      <c r="O9" s="574"/>
      <c r="P9" s="578">
        <f>SUM(O9-M9)*30</f>
        <v>0</v>
      </c>
      <c r="Q9" s="574"/>
      <c r="R9" s="578">
        <f>SUM(Q9-O9)*30</f>
        <v>0</v>
      </c>
      <c r="S9" s="574"/>
      <c r="T9" s="578">
        <f>SUM(S9-Q9)*30</f>
        <v>0</v>
      </c>
      <c r="U9" s="574"/>
      <c r="V9" s="578">
        <f>SUM(U9-S9)*30</f>
        <v>0</v>
      </c>
      <c r="W9" s="574"/>
      <c r="X9" s="578">
        <f>SUM(W9-U9)*30</f>
        <v>0</v>
      </c>
      <c r="Y9" s="574"/>
      <c r="Z9" s="578">
        <f>SUM(Y9-W9)*30</f>
        <v>0</v>
      </c>
      <c r="AA9" s="580">
        <f t="shared" si="0"/>
        <v>0</v>
      </c>
      <c r="AB9" s="579">
        <f t="shared" si="1"/>
        <v>0</v>
      </c>
    </row>
    <row r="10" spans="1:28">
      <c r="A10" s="552" t="s">
        <v>436</v>
      </c>
      <c r="B10" s="574">
        <v>3192319</v>
      </c>
      <c r="C10" s="574">
        <v>3384649</v>
      </c>
      <c r="D10" s="578">
        <f>SUM(C10-B10)</f>
        <v>192330</v>
      </c>
      <c r="E10" s="574">
        <v>3700394</v>
      </c>
      <c r="F10" s="578">
        <f>SUM(E10-C10)</f>
        <v>315745</v>
      </c>
      <c r="G10" s="574">
        <v>3911421</v>
      </c>
      <c r="H10" s="578">
        <f>SUM(G10-E10)</f>
        <v>211027</v>
      </c>
      <c r="I10" s="574">
        <v>3984527</v>
      </c>
      <c r="J10" s="578">
        <f>SUM(I10-G10)</f>
        <v>73106</v>
      </c>
      <c r="K10" s="574">
        <v>4001197.75</v>
      </c>
      <c r="L10" s="578">
        <f>SUM(K10-I10)</f>
        <v>16670.75</v>
      </c>
      <c r="M10" s="574">
        <v>4004255.5</v>
      </c>
      <c r="N10" s="578">
        <f>SUM(M10-K10)</f>
        <v>3057.75</v>
      </c>
      <c r="O10" s="574">
        <v>4007365</v>
      </c>
      <c r="P10" s="578">
        <f>SUM(O10-M10)</f>
        <v>3109.5</v>
      </c>
      <c r="Q10" s="574">
        <v>4011019</v>
      </c>
      <c r="R10" s="578">
        <f>SUM(Q10-O10)</f>
        <v>3654</v>
      </c>
      <c r="S10" s="574">
        <v>4018127.5</v>
      </c>
      <c r="T10" s="578">
        <f>SUM(S10-Q10)</f>
        <v>7108.5</v>
      </c>
      <c r="U10" s="574">
        <v>4027495.5</v>
      </c>
      <c r="V10" s="578">
        <f>SUM(U10-S10)</f>
        <v>9368</v>
      </c>
      <c r="W10" s="574">
        <v>4031080</v>
      </c>
      <c r="X10" s="578">
        <f>SUM(W10-U10)</f>
        <v>3584.5</v>
      </c>
      <c r="Y10" s="574">
        <v>4086031</v>
      </c>
      <c r="Z10" s="578">
        <f>SUM(Y10-W10)</f>
        <v>54951</v>
      </c>
      <c r="AA10" s="581">
        <f t="shared" si="0"/>
        <v>893712</v>
      </c>
      <c r="AB10" s="579">
        <f t="shared" si="1"/>
        <v>3.5070018920957055E-2</v>
      </c>
    </row>
    <row r="11" spans="1:28">
      <c r="A11" s="552" t="s">
        <v>535</v>
      </c>
      <c r="B11" s="574">
        <v>7080</v>
      </c>
      <c r="C11" s="574">
        <v>7267</v>
      </c>
      <c r="D11" s="578">
        <f>((C11-B11)*320)-((C12-B12)*20)-((C25-B25)*160)</f>
        <v>37580</v>
      </c>
      <c r="E11" s="574">
        <v>7485</v>
      </c>
      <c r="F11" s="578">
        <f>((E11-C11)*320)-((E12-C12)*20)-((E25-C25)*160)</f>
        <v>41960</v>
      </c>
      <c r="G11" s="574">
        <v>7702</v>
      </c>
      <c r="H11" s="578">
        <f>((G11-E11)*320)-((G12-E12)*20)-((G25-E25)*160)</f>
        <v>46600</v>
      </c>
      <c r="I11" s="574">
        <v>7941</v>
      </c>
      <c r="J11" s="578">
        <f>((I11-G11)*320)-((I12-G12)*20)-((I25-G25)*160)</f>
        <v>49660</v>
      </c>
      <c r="K11" s="574">
        <v>8251</v>
      </c>
      <c r="L11" s="578">
        <f>((K11-I11)*320)-((K12-I12)*20)-((K25-I25)*160)</f>
        <v>65660</v>
      </c>
      <c r="M11" s="574">
        <v>8559</v>
      </c>
      <c r="N11" s="578">
        <f>((M11-K11)*320)-((M12-K12)*20)-((M25-K25)*160)</f>
        <v>61960</v>
      </c>
      <c r="O11" s="574">
        <v>8846</v>
      </c>
      <c r="P11" s="578">
        <f>((O11-M11)*320)-((O12-M12)*20)-((O25-M25)*160)</f>
        <v>55580</v>
      </c>
      <c r="Q11" s="574">
        <v>9110</v>
      </c>
      <c r="R11" s="578">
        <f>((Q11-O11)*320)-((Q12-O12)*20)-((Q25-O25)*160)</f>
        <v>49360</v>
      </c>
      <c r="S11" s="574">
        <v>9424</v>
      </c>
      <c r="T11" s="578">
        <f>((S11-Q11)*320)-((S12-Q12)*20)-(((S25)-Q25)*160)</f>
        <v>61660</v>
      </c>
      <c r="U11" s="574">
        <v>9736</v>
      </c>
      <c r="V11" s="578">
        <f>((U11-S11)*320)-((U12-S12)*20)-((U25-S25)*160)</f>
        <v>60740</v>
      </c>
      <c r="W11" s="574">
        <v>48</v>
      </c>
      <c r="X11" s="578">
        <f>((W11+10000-U11)*320)-((W12-U12)*20)-((W25-U25)*160)</f>
        <v>65420</v>
      </c>
      <c r="Y11" s="574">
        <v>272</v>
      </c>
      <c r="Z11" s="578">
        <f>((Y11-W11)*320)-((Y12-W12)*20)-((Y25-W25)*160)</f>
        <v>49620</v>
      </c>
      <c r="AA11" s="582">
        <f t="shared" si="0"/>
        <v>645800</v>
      </c>
      <c r="AB11" s="579">
        <f t="shared" si="1"/>
        <v>2.534174120874965E-2</v>
      </c>
    </row>
    <row r="12" spans="1:28" s="353" customFormat="1">
      <c r="A12" s="573" t="s">
        <v>240</v>
      </c>
      <c r="B12" s="574">
        <v>66341</v>
      </c>
      <c r="C12" s="574">
        <v>66806</v>
      </c>
      <c r="D12" s="575">
        <f>SUM(C12-B12)*20</f>
        <v>9300</v>
      </c>
      <c r="E12" s="574">
        <v>67380</v>
      </c>
      <c r="F12" s="575">
        <f>SUM(E12-C12)*20</f>
        <v>11480</v>
      </c>
      <c r="G12" s="574">
        <v>67994</v>
      </c>
      <c r="H12" s="575">
        <f>SUM(G12-E12)*20</f>
        <v>12280</v>
      </c>
      <c r="I12" s="574">
        <v>68639</v>
      </c>
      <c r="J12" s="575">
        <f>SUM(I12-G12)*20</f>
        <v>12900</v>
      </c>
      <c r="K12" s="574">
        <v>69452</v>
      </c>
      <c r="L12" s="575">
        <f>SUM(K12-I12)*20</f>
        <v>16260</v>
      </c>
      <c r="M12" s="574">
        <v>70354</v>
      </c>
      <c r="N12" s="575">
        <f>SUM(M12-K12)*20</f>
        <v>18040</v>
      </c>
      <c r="O12" s="574">
        <v>71519</v>
      </c>
      <c r="P12" s="575">
        <f>SUM(O12-M12)*20</f>
        <v>23300</v>
      </c>
      <c r="Q12" s="574">
        <v>72739</v>
      </c>
      <c r="R12" s="575">
        <f>SUM(Q12-O12)*20</f>
        <v>24400</v>
      </c>
      <c r="S12" s="574">
        <v>73896</v>
      </c>
      <c r="T12" s="575">
        <f>SUM(S12-Q12)*20</f>
        <v>23140</v>
      </c>
      <c r="U12" s="574">
        <v>75043</v>
      </c>
      <c r="V12" s="575">
        <f>SUM(U12-S12)*20</f>
        <v>22940</v>
      </c>
      <c r="W12" s="574">
        <v>76012</v>
      </c>
      <c r="X12" s="575">
        <f>SUM(W12-U12)*20</f>
        <v>19380</v>
      </c>
      <c r="Y12" s="574">
        <v>76603</v>
      </c>
      <c r="Z12" s="575">
        <f>SUM(Y12-W12)*20</f>
        <v>11820</v>
      </c>
      <c r="AA12" s="576">
        <f t="shared" si="0"/>
        <v>205240</v>
      </c>
      <c r="AB12" s="577">
        <f t="shared" si="1"/>
        <v>8.0537921425886932E-3</v>
      </c>
    </row>
    <row r="13" spans="1:28" s="353" customFormat="1">
      <c r="A13" s="573" t="s">
        <v>235</v>
      </c>
      <c r="B13" s="574">
        <v>40372</v>
      </c>
      <c r="C13" s="574">
        <v>40639</v>
      </c>
      <c r="D13" s="575">
        <f>SUM(C13-B13)*30</f>
        <v>8010</v>
      </c>
      <c r="E13" s="574">
        <v>40890</v>
      </c>
      <c r="F13" s="575">
        <f>SUM(E13-C13)*30</f>
        <v>7530</v>
      </c>
      <c r="G13" s="574">
        <v>41085</v>
      </c>
      <c r="H13" s="575">
        <f>SUM(G13-E13)*30</f>
        <v>5850</v>
      </c>
      <c r="I13" s="574">
        <v>41259</v>
      </c>
      <c r="J13" s="575">
        <f>SUM(I13-G13)*30</f>
        <v>5220</v>
      </c>
      <c r="K13" s="574">
        <v>41567</v>
      </c>
      <c r="L13" s="575">
        <f>SUM(K13-I13)*30</f>
        <v>9240</v>
      </c>
      <c r="M13" s="574">
        <v>41925</v>
      </c>
      <c r="N13" s="575">
        <f>SUM(M13-K13)*30</f>
        <v>10740</v>
      </c>
      <c r="O13" s="574">
        <v>42270</v>
      </c>
      <c r="P13" s="575">
        <f>SUM(O13-M13)*30</f>
        <v>10350</v>
      </c>
      <c r="Q13" s="574">
        <v>42590</v>
      </c>
      <c r="R13" s="575">
        <f>SUM(Q13-O13)*30</f>
        <v>9600</v>
      </c>
      <c r="S13" s="574">
        <v>42954</v>
      </c>
      <c r="T13" s="575">
        <f>SUM(S13-Q13)*30</f>
        <v>10920</v>
      </c>
      <c r="U13" s="574">
        <v>43311</v>
      </c>
      <c r="V13" s="575">
        <f>SUM(U13-S13)*30</f>
        <v>10710</v>
      </c>
      <c r="W13" s="574">
        <v>43637</v>
      </c>
      <c r="X13" s="575">
        <f>SUM(W13-U13)*30</f>
        <v>9780</v>
      </c>
      <c r="Y13" s="574">
        <v>43848</v>
      </c>
      <c r="Z13" s="575">
        <f>SUM(Y13-W13)*30</f>
        <v>6330</v>
      </c>
      <c r="AA13" s="576">
        <f t="shared" si="0"/>
        <v>104280</v>
      </c>
      <c r="AB13" s="577">
        <f t="shared" si="1"/>
        <v>4.0920358830108606E-3</v>
      </c>
    </row>
    <row r="14" spans="1:28" s="353" customFormat="1">
      <c r="A14" s="583" t="s">
        <v>245</v>
      </c>
      <c r="B14" s="574">
        <v>6068</v>
      </c>
      <c r="C14" s="574">
        <v>6237</v>
      </c>
      <c r="D14" s="584">
        <f>SUM(C14-B14)*60</f>
        <v>10140</v>
      </c>
      <c r="E14" s="574">
        <v>6442</v>
      </c>
      <c r="F14" s="584">
        <f>SUM(E14-C14)*60</f>
        <v>12300</v>
      </c>
      <c r="G14" s="574">
        <v>6685</v>
      </c>
      <c r="H14" s="584">
        <f>SUM(G14-E14)*60</f>
        <v>14580</v>
      </c>
      <c r="I14" s="574">
        <v>6938</v>
      </c>
      <c r="J14" s="584">
        <f>SUM(I14-G14)*60</f>
        <v>15180</v>
      </c>
      <c r="K14" s="574">
        <v>7237</v>
      </c>
      <c r="L14" s="584">
        <f>SUM(K14-I14)*60</f>
        <v>17940</v>
      </c>
      <c r="M14" s="574">
        <v>7558</v>
      </c>
      <c r="N14" s="584">
        <f>SUM(M14-K14)*60</f>
        <v>19260</v>
      </c>
      <c r="O14" s="574">
        <v>7963</v>
      </c>
      <c r="P14" s="584">
        <f>SUM(O14-M14)*60</f>
        <v>24300</v>
      </c>
      <c r="Q14" s="574">
        <v>8362</v>
      </c>
      <c r="R14" s="584">
        <f>SUM(Q14-O14)*60</f>
        <v>23940</v>
      </c>
      <c r="S14" s="574">
        <v>8799</v>
      </c>
      <c r="T14" s="584">
        <f>SUM(S14-Q14)*60</f>
        <v>26220</v>
      </c>
      <c r="U14" s="574">
        <v>9227</v>
      </c>
      <c r="V14" s="584">
        <f>SUM(U14-S14)*60</f>
        <v>25680</v>
      </c>
      <c r="W14" s="574">
        <v>9519</v>
      </c>
      <c r="X14" s="584">
        <f>SUM(W14-U14)*60</f>
        <v>17520</v>
      </c>
      <c r="Y14" s="574">
        <v>9709</v>
      </c>
      <c r="Z14" s="584">
        <f>SUM(Y14-W14)*60</f>
        <v>11400</v>
      </c>
      <c r="AA14" s="576">
        <f t="shared" si="0"/>
        <v>218460</v>
      </c>
      <c r="AB14" s="585">
        <f t="shared" si="1"/>
        <v>8.572556185294903E-3</v>
      </c>
    </row>
    <row r="15" spans="1:28" s="353" customFormat="1">
      <c r="A15" s="583" t="s">
        <v>269</v>
      </c>
      <c r="B15" s="574">
        <v>68424</v>
      </c>
      <c r="C15" s="574">
        <v>68746</v>
      </c>
      <c r="D15" s="584">
        <f>SUM(C15-B15)*20</f>
        <v>6440</v>
      </c>
      <c r="E15" s="574">
        <v>69124</v>
      </c>
      <c r="F15" s="584">
        <f>SUM(E15-C15)*20</f>
        <v>7560</v>
      </c>
      <c r="G15" s="574">
        <v>69534</v>
      </c>
      <c r="H15" s="584">
        <f>SUM(G15-E15)*20</f>
        <v>8200</v>
      </c>
      <c r="I15" s="574">
        <v>69859</v>
      </c>
      <c r="J15" s="584">
        <f>SUM(I15-G15)*20</f>
        <v>6500</v>
      </c>
      <c r="K15" s="574">
        <v>70271</v>
      </c>
      <c r="L15" s="584">
        <f>SUM(K15-I15)*20</f>
        <v>8240</v>
      </c>
      <c r="M15" s="574">
        <v>70685</v>
      </c>
      <c r="N15" s="584">
        <f>SUM(M15-K15)*20</f>
        <v>8280</v>
      </c>
      <c r="O15" s="574">
        <v>71157</v>
      </c>
      <c r="P15" s="584">
        <f>SUM(O15-M15)*20</f>
        <v>9440</v>
      </c>
      <c r="Q15" s="574">
        <v>71666</v>
      </c>
      <c r="R15" s="584">
        <f>SUM(Q15-O15)*20</f>
        <v>10180</v>
      </c>
      <c r="S15" s="574">
        <v>72173</v>
      </c>
      <c r="T15" s="584">
        <f>SUM(S15-Q15)*20</f>
        <v>10140</v>
      </c>
      <c r="U15" s="574">
        <v>72661</v>
      </c>
      <c r="V15" s="584">
        <f>SUM(U15-S15)*20</f>
        <v>9760</v>
      </c>
      <c r="W15" s="574">
        <v>73080</v>
      </c>
      <c r="X15" s="584">
        <f>SUM(W15-U15)*20</f>
        <v>8380</v>
      </c>
      <c r="Y15" s="574">
        <v>73184</v>
      </c>
      <c r="Z15" s="584">
        <f>SUM(Y15-W15)*20</f>
        <v>2080</v>
      </c>
      <c r="AA15" s="576">
        <f t="shared" si="0"/>
        <v>95200</v>
      </c>
      <c r="AB15" s="585">
        <f t="shared" si="1"/>
        <v>3.7357289610916175E-3</v>
      </c>
    </row>
    <row r="16" spans="1:28" s="353" customFormat="1">
      <c r="A16" s="573" t="s">
        <v>271</v>
      </c>
      <c r="B16" s="574">
        <v>1746311</v>
      </c>
      <c r="C16" s="574">
        <v>1755631</v>
      </c>
      <c r="D16" s="575">
        <f>SUM(C16-B16)*7.5</f>
        <v>69900</v>
      </c>
      <c r="E16" s="574">
        <v>1764753</v>
      </c>
      <c r="F16" s="575">
        <f>SUM(E16-C16)*7.5</f>
        <v>68415</v>
      </c>
      <c r="G16" s="574">
        <v>1776365</v>
      </c>
      <c r="H16" s="575">
        <f>SUM(G16-E16)*7.5</f>
        <v>87090</v>
      </c>
      <c r="I16" s="574">
        <v>1789003</v>
      </c>
      <c r="J16" s="575">
        <f>SUM(I16-G16)*7.5</f>
        <v>94785</v>
      </c>
      <c r="K16" s="574">
        <v>1803892</v>
      </c>
      <c r="L16" s="575">
        <f>SUM(K16-I16)*7.5</f>
        <v>111667.5</v>
      </c>
      <c r="M16" s="574">
        <v>1819726</v>
      </c>
      <c r="N16" s="575">
        <f>SUM(M16-K16)*7.5</f>
        <v>118755</v>
      </c>
      <c r="O16" s="574">
        <v>1831129</v>
      </c>
      <c r="P16" s="575">
        <f>SUM(O16-M16)*7.5</f>
        <v>85522.5</v>
      </c>
      <c r="Q16" s="574">
        <v>1842184</v>
      </c>
      <c r="R16" s="575">
        <f>SUM(Q16-O16)*7.5</f>
        <v>82912.5</v>
      </c>
      <c r="S16" s="574">
        <v>1856360</v>
      </c>
      <c r="T16" s="575">
        <f>SUM(S16-Q16)*7.5</f>
        <v>106320</v>
      </c>
      <c r="U16" s="574">
        <v>1860383</v>
      </c>
      <c r="V16" s="575">
        <f>SUM(U16-S16)*7.5</f>
        <v>30172.5</v>
      </c>
      <c r="W16" s="574">
        <v>1874519</v>
      </c>
      <c r="X16" s="575">
        <f>SUM(W16-U16)*7.5</f>
        <v>106020</v>
      </c>
      <c r="Y16" s="574">
        <v>1874519</v>
      </c>
      <c r="Z16" s="575">
        <f>SUM(Y16-W16)*7.5</f>
        <v>0</v>
      </c>
      <c r="AA16" s="576">
        <f t="shared" si="0"/>
        <v>961560</v>
      </c>
      <c r="AB16" s="577">
        <f t="shared" si="1"/>
        <v>3.7732432141042604E-2</v>
      </c>
    </row>
    <row r="17" spans="1:28">
      <c r="A17" s="552" t="s">
        <v>246</v>
      </c>
      <c r="B17" s="574">
        <v>72711</v>
      </c>
      <c r="C17" s="574">
        <v>73110</v>
      </c>
      <c r="D17" s="578">
        <f>SUM(C17-B17)*30</f>
        <v>11970</v>
      </c>
      <c r="E17" s="574">
        <v>73589</v>
      </c>
      <c r="F17" s="578">
        <f>SUM(E17-C17)*30</f>
        <v>14370</v>
      </c>
      <c r="G17" s="574">
        <v>74157</v>
      </c>
      <c r="H17" s="578">
        <f>SUM(G17-E17)*30</f>
        <v>17040</v>
      </c>
      <c r="I17" s="574">
        <v>74718</v>
      </c>
      <c r="J17" s="578">
        <f>SUM(I17-G17)*30</f>
        <v>16830</v>
      </c>
      <c r="K17" s="574">
        <v>75435</v>
      </c>
      <c r="L17" s="578">
        <f>SUM(K17-I17)*30</f>
        <v>21510</v>
      </c>
      <c r="M17" s="574">
        <v>76172</v>
      </c>
      <c r="N17" s="578">
        <f>SUM(M17-K17)*30</f>
        <v>22110</v>
      </c>
      <c r="O17" s="574">
        <v>76733</v>
      </c>
      <c r="P17" s="578">
        <f>SUM(O17-M17)*30</f>
        <v>16830</v>
      </c>
      <c r="Q17" s="574">
        <v>77252</v>
      </c>
      <c r="R17" s="578">
        <f>SUM(Q17-O17)*30</f>
        <v>15570</v>
      </c>
      <c r="S17" s="574">
        <v>77913</v>
      </c>
      <c r="T17" s="578">
        <f>SUM(S17-Q17)*30</f>
        <v>19830</v>
      </c>
      <c r="U17" s="574">
        <v>78613</v>
      </c>
      <c r="V17" s="578">
        <f>SUM(U17-S17)*30</f>
        <v>21000</v>
      </c>
      <c r="W17" s="574">
        <v>79296</v>
      </c>
      <c r="X17" s="578">
        <f>SUM(W17-U17)*30</f>
        <v>20490</v>
      </c>
      <c r="Y17" s="574">
        <v>79707</v>
      </c>
      <c r="Z17" s="578">
        <f>SUM(Y17-W17)*30</f>
        <v>12330</v>
      </c>
      <c r="AA17" s="581">
        <f t="shared" si="0"/>
        <v>209880</v>
      </c>
      <c r="AB17" s="579">
        <f t="shared" si="1"/>
        <v>8.2358696885914788E-3</v>
      </c>
    </row>
    <row r="18" spans="1:28" s="353" customFormat="1">
      <c r="A18" s="573" t="s">
        <v>249</v>
      </c>
      <c r="B18" s="574">
        <v>39798</v>
      </c>
      <c r="C18" s="574">
        <v>40007</v>
      </c>
      <c r="D18" s="575">
        <f>SUM(C18-B18)*15</f>
        <v>3135</v>
      </c>
      <c r="E18" s="574">
        <v>40264</v>
      </c>
      <c r="F18" s="575">
        <f>SUM(E18-C18)*15</f>
        <v>3855</v>
      </c>
      <c r="G18" s="574">
        <v>40564</v>
      </c>
      <c r="H18" s="575">
        <f>SUM(G18-E18)*15</f>
        <v>4500</v>
      </c>
      <c r="I18" s="574">
        <v>40949</v>
      </c>
      <c r="J18" s="575">
        <f>SUM(I18-G18)*15</f>
        <v>5775</v>
      </c>
      <c r="K18" s="574">
        <v>41410</v>
      </c>
      <c r="L18" s="575">
        <f>SUM(K18-I18)*15</f>
        <v>6915</v>
      </c>
      <c r="M18" s="574">
        <v>41891</v>
      </c>
      <c r="N18" s="575">
        <f>SUM(M18-K18)*15</f>
        <v>7215</v>
      </c>
      <c r="O18" s="574">
        <v>42241</v>
      </c>
      <c r="P18" s="575">
        <f>SUM(O18-M18)*15</f>
        <v>5250</v>
      </c>
      <c r="Q18" s="574">
        <v>42533</v>
      </c>
      <c r="R18" s="575">
        <f>SUM(Q18-O18)*15</f>
        <v>4380</v>
      </c>
      <c r="S18" s="574">
        <v>42967</v>
      </c>
      <c r="T18" s="575">
        <f>SUM(S18-Q18)*15</f>
        <v>6510</v>
      </c>
      <c r="U18" s="574">
        <v>43394</v>
      </c>
      <c r="V18" s="575">
        <f>SUM(U18-S18)*15</f>
        <v>6405</v>
      </c>
      <c r="W18" s="574">
        <v>43821</v>
      </c>
      <c r="X18" s="575">
        <f>SUM(W18-U18)*15</f>
        <v>6405</v>
      </c>
      <c r="Y18" s="574">
        <v>44131</v>
      </c>
      <c r="Z18" s="575">
        <f>SUM(Y18-W18)*15</f>
        <v>4650</v>
      </c>
      <c r="AA18" s="576">
        <f>SUM(D18+F18+J18+L18+N18+P18+R18+T18+V18+X18+Z18)</f>
        <v>60495</v>
      </c>
      <c r="AB18" s="577">
        <f t="shared" si="1"/>
        <v>2.3738752468617373E-3</v>
      </c>
    </row>
    <row r="19" spans="1:28" s="353" customFormat="1">
      <c r="A19" s="573" t="s">
        <v>265</v>
      </c>
      <c r="B19" s="574">
        <v>4754</v>
      </c>
      <c r="C19" s="574">
        <v>5409</v>
      </c>
      <c r="D19" s="575">
        <f>SUM(C19-B19)*7.5</f>
        <v>4912.5</v>
      </c>
      <c r="E19" s="574">
        <v>6132</v>
      </c>
      <c r="F19" s="575">
        <f>SUM(E19-C19)*7.5</f>
        <v>5422.5</v>
      </c>
      <c r="G19" s="574">
        <v>6980</v>
      </c>
      <c r="H19" s="575">
        <f>SUM(G19-E19)*7.5</f>
        <v>6360</v>
      </c>
      <c r="I19" s="574">
        <v>7868</v>
      </c>
      <c r="J19" s="575">
        <f>SUM(I19-G19)*7.5</f>
        <v>6660</v>
      </c>
      <c r="K19" s="574">
        <v>8907</v>
      </c>
      <c r="L19" s="575">
        <f>SUM(K19-I19)*7.5</f>
        <v>7792.5</v>
      </c>
      <c r="M19" s="574">
        <v>10002</v>
      </c>
      <c r="N19" s="575">
        <f>SUM(M19-K19)*7.5</f>
        <v>8212.5</v>
      </c>
      <c r="O19" s="574">
        <v>10856</v>
      </c>
      <c r="P19" s="575">
        <f>SUM(O19-M19)*7.5</f>
        <v>6405</v>
      </c>
      <c r="Q19" s="574">
        <v>11666</v>
      </c>
      <c r="R19" s="575">
        <f>SUM((Q19+100000)-O19)*7.5</f>
        <v>756075</v>
      </c>
      <c r="S19" s="574">
        <v>12606</v>
      </c>
      <c r="T19" s="575">
        <f>SUM(S19-Q19)*7.5</f>
        <v>7050</v>
      </c>
      <c r="U19" s="574">
        <v>13571</v>
      </c>
      <c r="V19" s="575">
        <f>SUM(U19-S19)*7.5</f>
        <v>7237.5</v>
      </c>
      <c r="W19" s="574">
        <v>14505</v>
      </c>
      <c r="X19" s="575">
        <f>SUM(W19-U19)*7.5</f>
        <v>7005</v>
      </c>
      <c r="Y19" s="574">
        <v>15151</v>
      </c>
      <c r="Z19" s="575">
        <f>SUM(Y19-W19)*7.5</f>
        <v>4845</v>
      </c>
      <c r="AA19" s="576">
        <f>SUM(D19+F19+J19+L19+N19+P19+R19+T19+V19+X19+Z19)</f>
        <v>821617.5</v>
      </c>
      <c r="AB19" s="577">
        <f t="shared" si="1"/>
        <v>3.2240969429513572E-2</v>
      </c>
    </row>
    <row r="20" spans="1:28">
      <c r="A20" s="552" t="s">
        <v>241</v>
      </c>
      <c r="B20" s="574">
        <v>5795635</v>
      </c>
      <c r="C20" s="574">
        <v>5812446</v>
      </c>
      <c r="D20" s="578">
        <f>SUM(C20-B20)</f>
        <v>16811</v>
      </c>
      <c r="E20" s="574">
        <v>5833538</v>
      </c>
      <c r="F20" s="578">
        <f>SUM(E20-C20)</f>
        <v>21092</v>
      </c>
      <c r="G20" s="574">
        <v>5856831</v>
      </c>
      <c r="H20" s="578">
        <f>SUM(G20-E20)</f>
        <v>23293</v>
      </c>
      <c r="I20" s="574">
        <v>5879504</v>
      </c>
      <c r="J20" s="578">
        <f>SUM(I20-G20)</f>
        <v>22673</v>
      </c>
      <c r="K20" s="574">
        <v>5906787</v>
      </c>
      <c r="L20" s="578">
        <f>SUM(K20-I20)</f>
        <v>27283</v>
      </c>
      <c r="M20" s="574">
        <v>5934646</v>
      </c>
      <c r="N20" s="578">
        <f>SUM(M20-K20)</f>
        <v>27859</v>
      </c>
      <c r="O20" s="574">
        <v>5973246</v>
      </c>
      <c r="P20" s="578">
        <f>SUM(O20-M20)</f>
        <v>38600</v>
      </c>
      <c r="Q20" s="574">
        <v>6012397</v>
      </c>
      <c r="R20" s="578">
        <f>SUM(Q20-O20)</f>
        <v>39151</v>
      </c>
      <c r="S20" s="574">
        <v>6055493</v>
      </c>
      <c r="T20" s="578">
        <f>SUM(S20-Q20)</f>
        <v>43096</v>
      </c>
      <c r="U20" s="574">
        <v>6096063</v>
      </c>
      <c r="V20" s="578">
        <f>SUM(U20-S20)</f>
        <v>40570</v>
      </c>
      <c r="W20" s="574">
        <v>6120745</v>
      </c>
      <c r="X20" s="578">
        <f>SUM(W20-U20)</f>
        <v>24682</v>
      </c>
      <c r="Y20" s="574">
        <v>6141293</v>
      </c>
      <c r="Z20" s="578">
        <f>SUM(Y20-W20)</f>
        <v>20548</v>
      </c>
      <c r="AA20" s="580">
        <f t="shared" ref="AA20:AA30" si="2">SUM(D20+F20+H20+J20+L20+N20+P20+R20+T20+V20+X20+Z20)</f>
        <v>345658</v>
      </c>
      <c r="AB20" s="579">
        <f t="shared" si="1"/>
        <v>1.3563913878497966E-2</v>
      </c>
    </row>
    <row r="21" spans="1:28" s="353" customFormat="1">
      <c r="A21" s="573" t="s">
        <v>247</v>
      </c>
      <c r="B21" s="574">
        <v>3434122</v>
      </c>
      <c r="C21" s="574">
        <v>3445975</v>
      </c>
      <c r="D21" s="584">
        <f>SUM(C21-B21)</f>
        <v>11853</v>
      </c>
      <c r="E21" s="574">
        <v>3459281</v>
      </c>
      <c r="F21" s="584">
        <f>SUM(E21-C21)</f>
        <v>13306</v>
      </c>
      <c r="G21" s="574">
        <v>3482070</v>
      </c>
      <c r="H21" s="584">
        <f>SUM(G21-E21)</f>
        <v>22789</v>
      </c>
      <c r="I21" s="574">
        <v>3509719</v>
      </c>
      <c r="J21" s="584">
        <f>SUM(I21-G21)</f>
        <v>27649</v>
      </c>
      <c r="K21" s="574">
        <v>3541325</v>
      </c>
      <c r="L21" s="584">
        <f>SUM(K21-I21)</f>
        <v>31606</v>
      </c>
      <c r="M21" s="574">
        <v>3576329</v>
      </c>
      <c r="N21" s="584">
        <f>SUM(M21-K21)</f>
        <v>35004</v>
      </c>
      <c r="O21" s="574">
        <v>3603806</v>
      </c>
      <c r="P21" s="584">
        <f>SUM(O21-M21)</f>
        <v>27477</v>
      </c>
      <c r="Q21" s="574">
        <v>3627738</v>
      </c>
      <c r="R21" s="584">
        <f>SUM(Q21-O21)</f>
        <v>23932</v>
      </c>
      <c r="S21" s="574">
        <v>3660316</v>
      </c>
      <c r="T21" s="584">
        <f>SUM(S21-Q21)</f>
        <v>32578</v>
      </c>
      <c r="U21" s="574">
        <v>3692749</v>
      </c>
      <c r="V21" s="584">
        <f>SUM(U21-S21)</f>
        <v>32433</v>
      </c>
      <c r="W21" s="574">
        <v>3724172</v>
      </c>
      <c r="X21" s="584">
        <f>SUM(W21-U21)</f>
        <v>31423</v>
      </c>
      <c r="Y21" s="574">
        <v>3747016</v>
      </c>
      <c r="Z21" s="584">
        <f>SUM(Y21-W21)</f>
        <v>22844</v>
      </c>
      <c r="AA21" s="576">
        <f t="shared" si="2"/>
        <v>312894</v>
      </c>
      <c r="AB21" s="577">
        <f t="shared" si="1"/>
        <v>1.227822665495589E-2</v>
      </c>
    </row>
    <row r="22" spans="1:28">
      <c r="A22" s="552" t="s">
        <v>536</v>
      </c>
      <c r="B22" s="574">
        <v>3143237</v>
      </c>
      <c r="C22" s="574">
        <v>3163397</v>
      </c>
      <c r="D22" s="578">
        <f>(C22+100000)-B22-D23</f>
        <v>116422.016</v>
      </c>
      <c r="E22" s="574">
        <v>3185167</v>
      </c>
      <c r="F22" s="578">
        <f>SUM(E22+100000)-C22-F23</f>
        <v>117403.03099999999</v>
      </c>
      <c r="G22" s="574">
        <v>3210949</v>
      </c>
      <c r="H22" s="578">
        <f>SUM(G22+100000)-E22-H23</f>
        <v>120517.08900000001</v>
      </c>
      <c r="I22" s="574">
        <v>3234938</v>
      </c>
      <c r="J22" s="578">
        <f>SUM(I22+100000)-G22-J23</f>
        <v>119157.614</v>
      </c>
      <c r="K22" s="574">
        <v>3260869</v>
      </c>
      <c r="L22" s="578">
        <f>SUM(K22+100000)-I22-L23</f>
        <v>120209.625</v>
      </c>
      <c r="M22" s="574">
        <v>3284832</v>
      </c>
      <c r="N22" s="578">
        <f>SUM(M22+100000)-K22-N23</f>
        <v>118478.82799999998</v>
      </c>
      <c r="O22" s="574">
        <v>3305967</v>
      </c>
      <c r="P22" s="578">
        <f>SUM(O22+100000)-M22-P23</f>
        <v>116235.641</v>
      </c>
      <c r="Q22" s="574">
        <v>3326951</v>
      </c>
      <c r="R22" s="578">
        <f>SUM(Q22+100000)-O22-R23</f>
        <v>116015.78</v>
      </c>
      <c r="S22" s="574">
        <v>3351203</v>
      </c>
      <c r="T22" s="578">
        <f>SUM(S22+100000)-Q22-T23</f>
        <v>118256.93900000001</v>
      </c>
      <c r="U22" s="574">
        <v>3373064</v>
      </c>
      <c r="V22" s="578">
        <f>SUM(U22+100000)-S22-V23</f>
        <v>116325.25</v>
      </c>
      <c r="W22" s="574">
        <v>3398199</v>
      </c>
      <c r="X22" s="578">
        <f>SUM(W22+100000)-U22-X23</f>
        <v>119658.15899999999</v>
      </c>
      <c r="Y22" s="574">
        <v>3420535</v>
      </c>
      <c r="Z22" s="578">
        <f>SUM(Y22+100000)-W22-Z23</f>
        <v>117529.747</v>
      </c>
      <c r="AA22" s="576">
        <f t="shared" si="2"/>
        <v>1416209.719</v>
      </c>
      <c r="AB22" s="579">
        <f t="shared" si="1"/>
        <v>5.5573273763106321E-2</v>
      </c>
    </row>
    <row r="23" spans="1:28">
      <c r="A23" s="552" t="s">
        <v>428</v>
      </c>
      <c r="B23" s="574">
        <v>193828.67199999999</v>
      </c>
      <c r="C23" s="574">
        <v>197566.65599999999</v>
      </c>
      <c r="D23" s="578">
        <f>C23-B23</f>
        <v>3737.9839999999967</v>
      </c>
      <c r="E23" s="574">
        <v>201933.625</v>
      </c>
      <c r="F23" s="578">
        <f>E23-C23</f>
        <v>4366.9690000000119</v>
      </c>
      <c r="G23" s="574">
        <v>207198.53599999999</v>
      </c>
      <c r="H23" s="578">
        <f>G23-E23</f>
        <v>5264.9109999999928</v>
      </c>
      <c r="I23" s="574">
        <v>212029.92199999999</v>
      </c>
      <c r="J23" s="578">
        <f>I23-G23</f>
        <v>4831.3859999999986</v>
      </c>
      <c r="K23" s="574">
        <v>217751.29699999999</v>
      </c>
      <c r="L23" s="578">
        <f>K23-I23</f>
        <v>5721.375</v>
      </c>
      <c r="M23" s="574">
        <v>223235.46900000001</v>
      </c>
      <c r="N23" s="578">
        <f>M23-K23</f>
        <v>5484.1720000000205</v>
      </c>
      <c r="O23" s="574">
        <v>228134.82800000001</v>
      </c>
      <c r="P23" s="578">
        <f>O23-M23</f>
        <v>4899.3589999999967</v>
      </c>
      <c r="Q23" s="574">
        <v>233103.04800000001</v>
      </c>
      <c r="R23" s="578">
        <f>Q23-O23</f>
        <v>4968.2200000000012</v>
      </c>
      <c r="S23" s="574">
        <v>239098.109</v>
      </c>
      <c r="T23" s="578">
        <f>S23-Q23</f>
        <v>5995.060999999987</v>
      </c>
      <c r="U23" s="574">
        <v>244633.859</v>
      </c>
      <c r="V23" s="578">
        <f>U23-S23</f>
        <v>5535.75</v>
      </c>
      <c r="W23" s="574">
        <v>250110.7</v>
      </c>
      <c r="X23" s="578">
        <f>W23-U23</f>
        <v>5476.8410000000149</v>
      </c>
      <c r="Y23" s="574">
        <v>254916.95300000001</v>
      </c>
      <c r="Z23" s="578">
        <f>Y23-W23</f>
        <v>4806.252999999997</v>
      </c>
      <c r="AA23" s="576">
        <f t="shared" si="2"/>
        <v>61088.281000000017</v>
      </c>
      <c r="AB23" s="579">
        <f t="shared" si="1"/>
        <v>2.3971560978466688E-3</v>
      </c>
    </row>
    <row r="24" spans="1:28">
      <c r="A24" s="364" t="s">
        <v>233</v>
      </c>
      <c r="B24" s="574">
        <v>12266</v>
      </c>
      <c r="C24" s="574">
        <v>85230</v>
      </c>
      <c r="D24" s="578">
        <f>SUM(C24+100000)-B24</f>
        <v>172964</v>
      </c>
      <c r="E24" s="574">
        <v>69397</v>
      </c>
      <c r="F24" s="578">
        <f>SUM(E24+100000)-C24</f>
        <v>84167</v>
      </c>
      <c r="G24" s="574">
        <v>68097.899999999994</v>
      </c>
      <c r="H24" s="578">
        <f>SUM(G24+100000)-E24</f>
        <v>98700.9</v>
      </c>
      <c r="I24" s="574">
        <v>66072.600000000006</v>
      </c>
      <c r="J24" s="578">
        <f>SUM(I24+100000)-G24</f>
        <v>97974.700000000012</v>
      </c>
      <c r="K24" s="574">
        <v>80803.5</v>
      </c>
      <c r="L24" s="578">
        <f>SUM(K24+100000)-I24</f>
        <v>114730.9</v>
      </c>
      <c r="M24" s="574">
        <v>95748</v>
      </c>
      <c r="N24" s="578">
        <f>SUM(M24+100000)-K24</f>
        <v>114944.5</v>
      </c>
      <c r="O24" s="574">
        <v>89428.9</v>
      </c>
      <c r="P24" s="578">
        <f>SUM(O24+100000)-M24</f>
        <v>93680.9</v>
      </c>
      <c r="Q24" s="574">
        <v>85493.1</v>
      </c>
      <c r="R24" s="578">
        <f>SUM(Q24+100000)-O24</f>
        <v>96064.200000000012</v>
      </c>
      <c r="S24" s="574">
        <v>99259.5</v>
      </c>
      <c r="T24" s="578">
        <f>SUM(S24+100000)-Q24</f>
        <v>113766.39999999999</v>
      </c>
      <c r="U24" s="574">
        <v>8372.6</v>
      </c>
      <c r="V24" s="578">
        <f>SUM(U24+100000)-S24</f>
        <v>9113.1000000000058</v>
      </c>
      <c r="W24" s="574">
        <v>15505</v>
      </c>
      <c r="X24" s="578">
        <f>SUM(W24+100000)-U24</f>
        <v>107132.4</v>
      </c>
      <c r="Y24" s="574">
        <v>13368</v>
      </c>
      <c r="Z24" s="578">
        <f>SUM(Y24+100000)-W24</f>
        <v>97863</v>
      </c>
      <c r="AA24" s="580">
        <f t="shared" si="2"/>
        <v>1201102</v>
      </c>
      <c r="AB24" s="579">
        <f t="shared" ref="AB24:AB30" si="3">(AA24/$AA$31)</f>
        <v>4.7132263935137225E-2</v>
      </c>
    </row>
    <row r="25" spans="1:28">
      <c r="A25" s="552" t="s">
        <v>248</v>
      </c>
      <c r="B25" s="574">
        <v>2303</v>
      </c>
      <c r="C25" s="574">
        <v>2384</v>
      </c>
      <c r="D25" s="578">
        <f>SUM(C25-B25)*160</f>
        <v>12960</v>
      </c>
      <c r="E25" s="574">
        <v>2486</v>
      </c>
      <c r="F25" s="578">
        <f>SUM(E25-C25)*160</f>
        <v>16320</v>
      </c>
      <c r="G25" s="574">
        <v>2552</v>
      </c>
      <c r="H25" s="578">
        <f>SUM(G25-E25)*160</f>
        <v>10560</v>
      </c>
      <c r="I25" s="574">
        <v>2639</v>
      </c>
      <c r="J25" s="578">
        <f>SUM(I25-G25)*160</f>
        <v>13920</v>
      </c>
      <c r="K25" s="574">
        <v>2747</v>
      </c>
      <c r="L25" s="578">
        <f>SUM(K25-I25)*160</f>
        <v>17280</v>
      </c>
      <c r="M25" s="574">
        <v>2863</v>
      </c>
      <c r="N25" s="578">
        <f>SUM(M25-K25)*160</f>
        <v>18560</v>
      </c>
      <c r="O25" s="574">
        <v>2944</v>
      </c>
      <c r="P25" s="578">
        <f>SUM(O25-M25)*160</f>
        <v>12960</v>
      </c>
      <c r="Q25" s="574">
        <v>3011</v>
      </c>
      <c r="R25" s="578">
        <f>SUM(Q25-O25)*160</f>
        <v>10720</v>
      </c>
      <c r="S25" s="574">
        <v>3109</v>
      </c>
      <c r="T25" s="578">
        <f>SUM((S25)-Q25)*160</f>
        <v>15680</v>
      </c>
      <c r="U25" s="574">
        <v>3210</v>
      </c>
      <c r="V25" s="578">
        <f>SUM(U25-S25)*160</f>
        <v>16160</v>
      </c>
      <c r="W25" s="574">
        <v>3304</v>
      </c>
      <c r="X25" s="578">
        <f>SUM(W25-U25)*160</f>
        <v>15040</v>
      </c>
      <c r="Y25" s="574">
        <v>3368</v>
      </c>
      <c r="Z25" s="578">
        <f>SUM(Y25-W25)*160</f>
        <v>10240</v>
      </c>
      <c r="AA25" s="581">
        <f t="shared" si="2"/>
        <v>170400</v>
      </c>
      <c r="AB25" s="579">
        <f t="shared" si="3"/>
        <v>6.6866409135505423E-3</v>
      </c>
    </row>
    <row r="26" spans="1:28">
      <c r="A26" s="552" t="s">
        <v>372</v>
      </c>
      <c r="B26" s="574">
        <v>6717473</v>
      </c>
      <c r="C26" s="574">
        <v>7018264</v>
      </c>
      <c r="D26" s="578">
        <f>SUM(C26-B26)</f>
        <v>300791</v>
      </c>
      <c r="E26" s="574">
        <v>7387010</v>
      </c>
      <c r="F26" s="578">
        <f>SUM(E26-C26)</f>
        <v>368746</v>
      </c>
      <c r="G26" s="574">
        <v>7774378</v>
      </c>
      <c r="H26" s="578">
        <f>SUM(G26-E26)</f>
        <v>387368</v>
      </c>
      <c r="I26" s="574">
        <v>8095494</v>
      </c>
      <c r="J26" s="578">
        <f>SUM(I26-G26)</f>
        <v>321116</v>
      </c>
      <c r="K26" s="574">
        <v>8460510</v>
      </c>
      <c r="L26" s="578">
        <f>SUM(K26-I26)</f>
        <v>365016</v>
      </c>
      <c r="M26" s="574">
        <v>8830968</v>
      </c>
      <c r="N26" s="578">
        <f>SUM(M26-K26)</f>
        <v>370458</v>
      </c>
      <c r="O26" s="574">
        <v>9149919</v>
      </c>
      <c r="P26" s="578">
        <f>SUM(O26-M26)</f>
        <v>318951</v>
      </c>
      <c r="Q26" s="574">
        <v>9503626</v>
      </c>
      <c r="R26" s="578">
        <f>SUM(Q26-O26)</f>
        <v>353707</v>
      </c>
      <c r="S26" s="574">
        <v>9883623</v>
      </c>
      <c r="T26" s="578">
        <f>SUM(S26-Q26)</f>
        <v>379997</v>
      </c>
      <c r="U26" s="574">
        <v>241122</v>
      </c>
      <c r="V26" s="578">
        <f>SUM(U26+10000000)-S26</f>
        <v>357499</v>
      </c>
      <c r="W26" s="574">
        <v>605999</v>
      </c>
      <c r="X26" s="578">
        <f>SUM(W26-U26)</f>
        <v>364877</v>
      </c>
      <c r="Y26" s="574">
        <v>840313</v>
      </c>
      <c r="Z26" s="578">
        <f>SUM(Y26-W26)</f>
        <v>234314</v>
      </c>
      <c r="AA26" s="582">
        <f t="shared" si="2"/>
        <v>4122840</v>
      </c>
      <c r="AB26" s="579">
        <f t="shared" si="3"/>
        <v>0.16178374779356056</v>
      </c>
    </row>
    <row r="27" spans="1:28" s="353" customFormat="1">
      <c r="A27" s="573" t="s">
        <v>437</v>
      </c>
      <c r="B27" s="574">
        <v>14336</v>
      </c>
      <c r="C27" s="574">
        <v>14658</v>
      </c>
      <c r="D27" s="575">
        <f>SUM(C27-B27)*2100</f>
        <v>676200</v>
      </c>
      <c r="E27" s="574">
        <v>15037</v>
      </c>
      <c r="F27" s="575">
        <f>SUM(E27-C27)*2100</f>
        <v>795900</v>
      </c>
      <c r="G27" s="574">
        <v>15448</v>
      </c>
      <c r="H27" s="575">
        <f>SUM(G27-E27)*2100</f>
        <v>863100</v>
      </c>
      <c r="I27" s="574">
        <v>15834</v>
      </c>
      <c r="J27" s="575">
        <f>SUM(I27-G27)*2100</f>
        <v>810600</v>
      </c>
      <c r="K27" s="574">
        <v>16299</v>
      </c>
      <c r="L27" s="575">
        <f>SUM(K27-I27)*2100</f>
        <v>976500</v>
      </c>
      <c r="M27" s="574">
        <v>16781</v>
      </c>
      <c r="N27" s="575">
        <f>SUM(M27-K27)*2100</f>
        <v>1012200</v>
      </c>
      <c r="O27" s="574">
        <v>17226</v>
      </c>
      <c r="P27" s="575">
        <f>SUM(O27-M27)*2100</f>
        <v>934500</v>
      </c>
      <c r="Q27" s="574">
        <v>17670</v>
      </c>
      <c r="R27" s="575">
        <f>SUM(Q27-O27)*2100</f>
        <v>932400</v>
      </c>
      <c r="S27" s="574">
        <v>18167</v>
      </c>
      <c r="T27" s="575">
        <f>SUM(S27-Q27)*2100</f>
        <v>1043700</v>
      </c>
      <c r="U27" s="574">
        <v>18646</v>
      </c>
      <c r="V27" s="575">
        <f>SUM(U27-S27)*2100</f>
        <v>1005900</v>
      </c>
      <c r="W27" s="574">
        <v>19108</v>
      </c>
      <c r="X27" s="575">
        <f>SUM(W27-U27)*2100</f>
        <v>970200</v>
      </c>
      <c r="Y27" s="574">
        <v>19473</v>
      </c>
      <c r="Z27" s="575">
        <f>SUM(Y27-W27)*2100</f>
        <v>766500</v>
      </c>
      <c r="AA27" s="576">
        <f t="shared" si="2"/>
        <v>10787700</v>
      </c>
      <c r="AB27" s="577">
        <f t="shared" si="3"/>
        <v>0.42331852220134503</v>
      </c>
    </row>
    <row r="28" spans="1:28">
      <c r="A28" s="552" t="s">
        <v>270</v>
      </c>
      <c r="B28" s="574">
        <v>71225</v>
      </c>
      <c r="C28" s="574">
        <v>71311</v>
      </c>
      <c r="D28" s="578">
        <f>SUM(C28-B28)*100</f>
        <v>8600</v>
      </c>
      <c r="E28" s="574">
        <v>71394</v>
      </c>
      <c r="F28" s="578">
        <f>SUM(E28-C28)*100</f>
        <v>8300</v>
      </c>
      <c r="G28" s="574">
        <v>71521</v>
      </c>
      <c r="H28" s="578">
        <f>SUM(G28-E28)*100</f>
        <v>12700</v>
      </c>
      <c r="I28" s="574">
        <v>71622</v>
      </c>
      <c r="J28" s="578">
        <f>SUM(I28-G28)*100</f>
        <v>10100</v>
      </c>
      <c r="K28" s="574">
        <v>72086</v>
      </c>
      <c r="L28" s="578">
        <f>SUM(K28-I28)*100</f>
        <v>46400</v>
      </c>
      <c r="M28" s="574">
        <v>72833</v>
      </c>
      <c r="N28" s="578">
        <f>SUM(M28-K28)*100</f>
        <v>74700</v>
      </c>
      <c r="O28" s="574">
        <v>74006</v>
      </c>
      <c r="P28" s="578">
        <f>SUM(O28-M28)*100</f>
        <v>117300</v>
      </c>
      <c r="Q28" s="574">
        <v>75275</v>
      </c>
      <c r="R28" s="578">
        <f>SUM(Q28-O28)*100</f>
        <v>126900</v>
      </c>
      <c r="S28" s="574">
        <v>76519</v>
      </c>
      <c r="T28" s="578">
        <f>SUM(S28-Q28)*100</f>
        <v>124400</v>
      </c>
      <c r="U28" s="574">
        <v>77490</v>
      </c>
      <c r="V28" s="578">
        <f>SUM(U28-S28)*100</f>
        <v>97100</v>
      </c>
      <c r="W28" s="574">
        <v>78156</v>
      </c>
      <c r="X28" s="578">
        <f>SUM(W28-U28)*100</f>
        <v>66600</v>
      </c>
      <c r="Y28" s="574">
        <v>78395</v>
      </c>
      <c r="Z28" s="578">
        <f>SUM(Y28-W28)*100</f>
        <v>23900</v>
      </c>
      <c r="AA28" s="580">
        <f t="shared" si="2"/>
        <v>717000</v>
      </c>
      <c r="AB28" s="579">
        <f t="shared" si="3"/>
        <v>2.8135689759482035E-2</v>
      </c>
    </row>
    <row r="29" spans="1:28" s="353" customFormat="1">
      <c r="A29" s="573" t="s">
        <v>242</v>
      </c>
      <c r="B29" s="574">
        <v>34678908</v>
      </c>
      <c r="C29" s="574">
        <v>34833436</v>
      </c>
      <c r="D29" s="575">
        <f>SUM(C29-B29)</f>
        <v>154528</v>
      </c>
      <c r="E29" s="574">
        <v>35014014</v>
      </c>
      <c r="F29" s="575">
        <f>SUM(E29-C29)</f>
        <v>180578</v>
      </c>
      <c r="G29" s="574">
        <v>35189239</v>
      </c>
      <c r="H29" s="575">
        <f>SUM(G29-E29)</f>
        <v>175225</v>
      </c>
      <c r="I29" s="574">
        <v>35336727</v>
      </c>
      <c r="J29" s="575">
        <f>SUM(I29-G29)</f>
        <v>147488</v>
      </c>
      <c r="K29" s="574">
        <v>35500832</v>
      </c>
      <c r="L29" s="575">
        <f>SUM(K29-I29)</f>
        <v>164105</v>
      </c>
      <c r="M29" s="574">
        <v>35666241</v>
      </c>
      <c r="N29" s="575">
        <f>SUM(M29-K29)</f>
        <v>165409</v>
      </c>
      <c r="O29" s="574">
        <v>35816468</v>
      </c>
      <c r="P29" s="575">
        <f>SUM(O29-M29)</f>
        <v>150227</v>
      </c>
      <c r="Q29" s="574">
        <v>35958387</v>
      </c>
      <c r="R29" s="575">
        <f>SUM(Q29-O29)</f>
        <v>141919</v>
      </c>
      <c r="S29" s="574">
        <v>36116319</v>
      </c>
      <c r="T29" s="575">
        <f>SUM(S29-Q29)</f>
        <v>157932</v>
      </c>
      <c r="U29" s="574">
        <v>36275395</v>
      </c>
      <c r="V29" s="584">
        <f>SUM(U29-S29)</f>
        <v>159076</v>
      </c>
      <c r="W29" s="574">
        <v>36438282</v>
      </c>
      <c r="X29" s="575">
        <f>SUM(W29-U29)</f>
        <v>162887</v>
      </c>
      <c r="Y29" s="574">
        <v>36592419</v>
      </c>
      <c r="Z29" s="575">
        <f>SUM(Y29-W29)</f>
        <v>154137</v>
      </c>
      <c r="AA29" s="576">
        <f t="shared" si="2"/>
        <v>1913511</v>
      </c>
      <c r="AB29" s="577">
        <f t="shared" si="3"/>
        <v>7.5087798950287624E-2</v>
      </c>
    </row>
    <row r="30" spans="1:28" s="353" customFormat="1">
      <c r="A30" s="586" t="s">
        <v>264</v>
      </c>
      <c r="B30" s="574">
        <v>43953</v>
      </c>
      <c r="C30" s="574">
        <v>44404</v>
      </c>
      <c r="D30" s="575">
        <f>SUM(C30-B30)*30</f>
        <v>13530</v>
      </c>
      <c r="E30" s="574">
        <v>44965</v>
      </c>
      <c r="F30" s="575">
        <f>SUM(E30-C30)*30</f>
        <v>16830</v>
      </c>
      <c r="G30" s="574">
        <v>45633</v>
      </c>
      <c r="H30" s="575">
        <f>SUM(G30-E30)*30</f>
        <v>20040</v>
      </c>
      <c r="I30" s="574">
        <v>46221</v>
      </c>
      <c r="J30" s="575">
        <f>SUM(I30-G30)*30</f>
        <v>17640</v>
      </c>
      <c r="K30" s="574">
        <v>46968</v>
      </c>
      <c r="L30" s="575">
        <f>SUM(K30-I30)*30</f>
        <v>22410</v>
      </c>
      <c r="M30" s="574">
        <v>47697</v>
      </c>
      <c r="N30" s="575">
        <f>SUM(M30-K30)*30</f>
        <v>21870</v>
      </c>
      <c r="O30" s="574">
        <v>48266</v>
      </c>
      <c r="P30" s="575">
        <f>SUM(O30-M30)*30</f>
        <v>17070</v>
      </c>
      <c r="Q30" s="574">
        <v>48808</v>
      </c>
      <c r="R30" s="575">
        <f>SUM(Q30-O30)*30</f>
        <v>16260</v>
      </c>
      <c r="S30" s="574">
        <v>49442</v>
      </c>
      <c r="T30" s="575">
        <f>SUM(S30-Q30)*30</f>
        <v>19020</v>
      </c>
      <c r="U30" s="574">
        <v>50069</v>
      </c>
      <c r="V30" s="575">
        <f>SUM(U30-S30)*30</f>
        <v>18810</v>
      </c>
      <c r="W30" s="574">
        <v>50731</v>
      </c>
      <c r="X30" s="575">
        <f>SUM(W30-U30)*30</f>
        <v>19860</v>
      </c>
      <c r="Y30" s="574">
        <v>51253</v>
      </c>
      <c r="Z30" s="575">
        <f>SUM(Y30-W30)*30</f>
        <v>15660</v>
      </c>
      <c r="AA30" s="576">
        <f t="shared" si="2"/>
        <v>219000</v>
      </c>
      <c r="AB30" s="577">
        <f t="shared" si="3"/>
        <v>8.5937462445279857E-3</v>
      </c>
    </row>
    <row r="31" spans="1:28">
      <c r="A31" s="552" t="s">
        <v>272</v>
      </c>
      <c r="B31" s="552"/>
      <c r="C31" s="587" t="s">
        <v>273</v>
      </c>
      <c r="D31" s="588">
        <f>SUM(D4:D30)</f>
        <v>1842114.5</v>
      </c>
      <c r="E31" s="588"/>
      <c r="F31" s="588">
        <f>SUM(F4:F30)</f>
        <v>2115646.5</v>
      </c>
      <c r="G31" s="588"/>
      <c r="H31" s="588">
        <f>SUM(H4:H30)</f>
        <v>2153084.9</v>
      </c>
      <c r="I31" s="588"/>
      <c r="J31" s="588">
        <f>SUM(J4:J30)</f>
        <v>1879765.7</v>
      </c>
      <c r="K31" s="588"/>
      <c r="L31" s="588">
        <f>SUM(L4:L30)</f>
        <v>2173157.65</v>
      </c>
      <c r="M31" s="588"/>
      <c r="N31" s="588">
        <f>SUM(N4:N30)</f>
        <v>2242597.75</v>
      </c>
      <c r="O31" s="588"/>
      <c r="P31" s="588">
        <f>SUM(P4:P30)</f>
        <v>2071987.9</v>
      </c>
      <c r="Q31" s="588"/>
      <c r="R31" s="588">
        <f>SUM(R4:R30)</f>
        <v>2842108.7</v>
      </c>
      <c r="S31" s="588"/>
      <c r="T31" s="588">
        <f>SUM(T4:T30)</f>
        <v>2333319.9</v>
      </c>
      <c r="U31" s="588"/>
      <c r="V31" s="588">
        <f>SUM(V4:V30)</f>
        <v>2062535.1</v>
      </c>
      <c r="W31" s="588"/>
      <c r="X31" s="588">
        <f>SUM(X4:X30)</f>
        <v>2151820.9</v>
      </c>
      <c r="Y31" s="588"/>
      <c r="Z31" s="588">
        <f>SUM(Z4:Z30)</f>
        <v>1626368</v>
      </c>
      <c r="AA31" s="588">
        <f>SUM(AA4:AA30)</f>
        <v>25483647.5</v>
      </c>
      <c r="AB31" s="589">
        <f>SUM(AB4:AB30)</f>
        <v>1</v>
      </c>
    </row>
    <row r="32" spans="1:28">
      <c r="A32" s="590" t="s">
        <v>432</v>
      </c>
      <c r="B32" s="590" t="s">
        <v>433</v>
      </c>
      <c r="C32" s="587"/>
      <c r="D32" s="588">
        <f>D27+D10</f>
        <v>868530</v>
      </c>
      <c r="E32" s="588"/>
      <c r="F32" s="588">
        <f t="shared" ref="F32:AA32" si="4">F27+F10</f>
        <v>1111645</v>
      </c>
      <c r="G32" s="588"/>
      <c r="H32" s="588">
        <f t="shared" si="4"/>
        <v>1074127</v>
      </c>
      <c r="I32" s="588"/>
      <c r="J32" s="588">
        <f t="shared" si="4"/>
        <v>883706</v>
      </c>
      <c r="K32" s="588"/>
      <c r="L32" s="588">
        <f t="shared" si="4"/>
        <v>993170.75</v>
      </c>
      <c r="M32" s="588"/>
      <c r="N32" s="588">
        <f t="shared" si="4"/>
        <v>1015257.75</v>
      </c>
      <c r="O32" s="588"/>
      <c r="P32" s="588">
        <f t="shared" si="4"/>
        <v>937609.5</v>
      </c>
      <c r="Q32" s="588"/>
      <c r="R32" s="588">
        <f t="shared" si="4"/>
        <v>936054</v>
      </c>
      <c r="S32" s="588"/>
      <c r="T32" s="588">
        <f t="shared" si="4"/>
        <v>1050808.5</v>
      </c>
      <c r="U32" s="588"/>
      <c r="V32" s="588">
        <f t="shared" si="4"/>
        <v>1015268</v>
      </c>
      <c r="W32" s="588"/>
      <c r="X32" s="588">
        <f t="shared" si="4"/>
        <v>973784.5</v>
      </c>
      <c r="Y32" s="588"/>
      <c r="Z32" s="588">
        <f t="shared" si="4"/>
        <v>821451</v>
      </c>
      <c r="AA32" s="588">
        <f t="shared" si="4"/>
        <v>11681412</v>
      </c>
      <c r="AB32" s="589"/>
    </row>
    <row r="33" spans="1:28">
      <c r="A33" s="364" t="s">
        <v>30</v>
      </c>
      <c r="B33" s="364"/>
      <c r="C33" s="415"/>
      <c r="D33" s="591">
        <f>D31-D32</f>
        <v>973584.5</v>
      </c>
      <c r="E33" s="591"/>
      <c r="F33" s="591">
        <f>F31-F32</f>
        <v>1004001.5</v>
      </c>
      <c r="G33" s="591"/>
      <c r="H33" s="591">
        <f>H31-H32</f>
        <v>1078957.8999999999</v>
      </c>
      <c r="I33" s="591"/>
      <c r="J33" s="591">
        <f>J31-J32</f>
        <v>996059.7</v>
      </c>
      <c r="K33" s="591"/>
      <c r="L33" s="591">
        <f>L31-L32</f>
        <v>1179986.8999999999</v>
      </c>
      <c r="M33" s="591"/>
      <c r="N33" s="591">
        <f>N31-N32</f>
        <v>1227340</v>
      </c>
      <c r="O33" s="591"/>
      <c r="P33" s="591">
        <f>P31-P32</f>
        <v>1134378.3999999999</v>
      </c>
      <c r="Q33" s="591"/>
      <c r="R33" s="591">
        <f>R31-R32</f>
        <v>1906054.7000000002</v>
      </c>
      <c r="S33" s="591"/>
      <c r="T33" s="591">
        <f>T31-T32</f>
        <v>1282511.3999999999</v>
      </c>
      <c r="U33" s="591"/>
      <c r="V33" s="591">
        <f>V31-V32</f>
        <v>1047267.1000000001</v>
      </c>
      <c r="W33" s="591"/>
      <c r="X33" s="591">
        <f>X31-X32</f>
        <v>1178036.3999999999</v>
      </c>
      <c r="Y33" s="591"/>
      <c r="Z33" s="591">
        <f>Z31-Z32</f>
        <v>804917</v>
      </c>
      <c r="AA33" s="591">
        <f>AA31-AA32</f>
        <v>13802235.5</v>
      </c>
      <c r="AB33" s="415"/>
    </row>
    <row r="34" spans="1:28">
      <c r="A34" s="552" t="s">
        <v>460</v>
      </c>
      <c r="B34" s="552" t="s">
        <v>434</v>
      </c>
      <c r="C34" s="592" t="s">
        <v>429</v>
      </c>
      <c r="D34" s="593">
        <v>812000</v>
      </c>
      <c r="E34" s="594" t="s">
        <v>430</v>
      </c>
      <c r="F34" s="593">
        <v>1013600</v>
      </c>
      <c r="G34" s="595"/>
      <c r="H34" s="593">
        <v>978600</v>
      </c>
      <c r="I34" s="595"/>
      <c r="J34" s="593">
        <v>975100</v>
      </c>
      <c r="K34" s="595" t="s">
        <v>273</v>
      </c>
      <c r="L34" s="593">
        <v>963200</v>
      </c>
      <c r="M34" s="594"/>
      <c r="N34" s="593">
        <v>918400</v>
      </c>
      <c r="O34" s="588"/>
      <c r="P34" s="593">
        <v>1080100</v>
      </c>
      <c r="Q34" s="588"/>
      <c r="R34" s="593">
        <v>1021300</v>
      </c>
      <c r="S34" s="415"/>
      <c r="T34" s="593">
        <v>1008000</v>
      </c>
      <c r="U34" s="588"/>
      <c r="V34" s="593">
        <v>968800</v>
      </c>
      <c r="W34" s="588"/>
      <c r="X34" s="593">
        <v>947800</v>
      </c>
      <c r="Y34" s="588"/>
      <c r="Z34" s="593">
        <v>856100</v>
      </c>
      <c r="AA34" s="588">
        <f>SUM(D34+F34+H34+J34+L34+N34+P34+R34+T34+V34+X34+Z34)</f>
        <v>11543000</v>
      </c>
      <c r="AB34" s="415"/>
    </row>
    <row r="35" spans="1:28">
      <c r="A35" s="364"/>
      <c r="B35" s="364"/>
      <c r="C35" s="415"/>
      <c r="D35" s="330"/>
      <c r="E35" s="364"/>
      <c r="F35" s="330"/>
      <c r="G35" s="364"/>
      <c r="H35" s="330"/>
      <c r="I35" s="364"/>
      <c r="J35" s="330"/>
      <c r="K35" s="364"/>
      <c r="L35" s="330"/>
      <c r="M35" s="364"/>
      <c r="N35" s="330"/>
      <c r="O35" s="364"/>
      <c r="P35" s="330"/>
      <c r="Q35" s="364"/>
      <c r="R35" s="330"/>
      <c r="S35" s="364"/>
      <c r="T35" s="330"/>
      <c r="U35" s="364"/>
      <c r="V35" s="330"/>
      <c r="W35" s="364"/>
      <c r="X35" s="330"/>
      <c r="Y35" s="364"/>
      <c r="Z35" s="330"/>
      <c r="AA35" s="364"/>
      <c r="AB35" s="415"/>
    </row>
    <row r="36" spans="1:28">
      <c r="A36" s="552" t="s">
        <v>435</v>
      </c>
      <c r="B36" s="552"/>
      <c r="C36" s="587" t="s">
        <v>274</v>
      </c>
      <c r="D36" s="596">
        <f>SUM(D33/D34)</f>
        <v>1.1989956896551723</v>
      </c>
      <c r="E36" s="596"/>
      <c r="F36" s="596">
        <f t="shared" ref="F36:AA36" si="5">SUM(F33/F34)</f>
        <v>0.99053028808208365</v>
      </c>
      <c r="G36" s="596"/>
      <c r="H36" s="596">
        <f t="shared" si="5"/>
        <v>1.1025525240138974</v>
      </c>
      <c r="I36" s="596"/>
      <c r="J36" s="596">
        <f t="shared" si="5"/>
        <v>1.0214949235975797</v>
      </c>
      <c r="K36" s="596"/>
      <c r="L36" s="596">
        <f t="shared" si="5"/>
        <v>1.2250694559800663</v>
      </c>
      <c r="M36" s="596"/>
      <c r="N36" s="596">
        <f t="shared" si="5"/>
        <v>1.3363893728222997</v>
      </c>
      <c r="O36" s="596"/>
      <c r="P36" s="596">
        <f t="shared" si="5"/>
        <v>1.0502531247106748</v>
      </c>
      <c r="Q36" s="596"/>
      <c r="R36" s="596">
        <f t="shared" si="5"/>
        <v>1.8663024576520124</v>
      </c>
      <c r="S36" s="596"/>
      <c r="T36" s="596">
        <f t="shared" si="5"/>
        <v>1.2723327380952381</v>
      </c>
      <c r="U36" s="596"/>
      <c r="V36" s="596">
        <f t="shared" si="5"/>
        <v>1.0809941164327004</v>
      </c>
      <c r="W36" s="596"/>
      <c r="X36" s="596">
        <f t="shared" si="5"/>
        <v>1.2429166490820847</v>
      </c>
      <c r="Y36" s="596"/>
      <c r="Z36" s="596">
        <f t="shared" si="5"/>
        <v>0.94021376007475765</v>
      </c>
      <c r="AA36" s="596">
        <f t="shared" si="5"/>
        <v>1.1957234254526552</v>
      </c>
      <c r="AB36" s="415"/>
    </row>
    <row r="37" spans="1:28">
      <c r="A37" s="415"/>
      <c r="B37" s="415" t="s">
        <v>431</v>
      </c>
      <c r="C37" s="415"/>
      <c r="D37" s="415"/>
      <c r="E37" s="415"/>
      <c r="F37" s="415"/>
      <c r="G37" s="415"/>
      <c r="H37" s="415"/>
      <c r="I37" s="415"/>
      <c r="J37" s="415"/>
      <c r="K37" s="415"/>
      <c r="L37" s="415"/>
      <c r="M37" s="415"/>
      <c r="N37" s="415"/>
      <c r="O37" s="415"/>
      <c r="P37" s="415"/>
      <c r="Q37" s="415"/>
      <c r="R37" s="415"/>
      <c r="S37" s="415"/>
      <c r="T37" s="415"/>
      <c r="U37" s="364"/>
      <c r="V37" s="415"/>
      <c r="W37" s="415"/>
      <c r="X37" s="415"/>
      <c r="Y37" s="415"/>
      <c r="Z37" s="415"/>
      <c r="AA37" s="415"/>
      <c r="AB37" s="415"/>
    </row>
    <row r="38" spans="1:28">
      <c r="A38" s="415"/>
      <c r="B38" s="415"/>
      <c r="C38" s="415"/>
      <c r="D38" s="415"/>
      <c r="E38" s="415"/>
      <c r="F38" s="415"/>
      <c r="G38" s="415"/>
      <c r="H38" s="415"/>
      <c r="I38" s="415"/>
      <c r="J38" s="415"/>
      <c r="K38" s="415"/>
      <c r="L38" s="415"/>
      <c r="M38" s="415"/>
      <c r="N38" s="415"/>
      <c r="O38" s="415"/>
      <c r="P38" s="415"/>
      <c r="Q38" s="415"/>
      <c r="R38" s="415"/>
      <c r="S38" s="415"/>
      <c r="T38" s="415"/>
      <c r="U38" s="364"/>
      <c r="V38" s="415"/>
      <c r="W38" s="415"/>
      <c r="X38" s="415"/>
      <c r="Y38" s="415"/>
      <c r="Z38" s="415"/>
      <c r="AA38" s="415"/>
      <c r="AB38" s="415"/>
    </row>
    <row r="39" spans="1:28">
      <c r="A39" s="415" t="s">
        <v>438</v>
      </c>
      <c r="B39" s="415"/>
      <c r="C39" s="415"/>
      <c r="D39" s="415"/>
      <c r="E39" s="415"/>
      <c r="F39" s="415"/>
      <c r="G39" s="415"/>
      <c r="H39" s="597">
        <f>H32-H34</f>
        <v>95527</v>
      </c>
      <c r="I39" s="597"/>
      <c r="J39" s="597">
        <f t="shared" ref="J39:AA39" si="6">J32-J34</f>
        <v>-91394</v>
      </c>
      <c r="K39" s="597"/>
      <c r="L39" s="597">
        <f t="shared" si="6"/>
        <v>29970.75</v>
      </c>
      <c r="M39" s="597"/>
      <c r="N39" s="597">
        <f t="shared" si="6"/>
        <v>96857.75</v>
      </c>
      <c r="O39" s="597"/>
      <c r="P39" s="597">
        <f t="shared" si="6"/>
        <v>-142490.5</v>
      </c>
      <c r="Q39" s="597"/>
      <c r="R39" s="597">
        <f t="shared" si="6"/>
        <v>-85246</v>
      </c>
      <c r="S39" s="597"/>
      <c r="T39" s="597">
        <f t="shared" si="6"/>
        <v>42808.5</v>
      </c>
      <c r="U39" s="597"/>
      <c r="V39" s="597">
        <f t="shared" si="6"/>
        <v>46468</v>
      </c>
      <c r="W39" s="597"/>
      <c r="X39" s="597">
        <f t="shared" si="6"/>
        <v>25984.5</v>
      </c>
      <c r="Y39" s="597"/>
      <c r="Z39" s="597">
        <f t="shared" si="6"/>
        <v>-34649</v>
      </c>
      <c r="AA39" s="597">
        <f t="shared" si="6"/>
        <v>138412</v>
      </c>
      <c r="AB39" s="415"/>
    </row>
    <row r="40" spans="1:28">
      <c r="A40" s="415" t="s">
        <v>439</v>
      </c>
      <c r="B40" s="415"/>
      <c r="C40" s="415"/>
      <c r="D40" s="415"/>
      <c r="E40" s="415"/>
      <c r="F40" s="415"/>
      <c r="G40" s="415"/>
      <c r="H40" s="598">
        <f>H32/H34</f>
        <v>1.0976159820151237</v>
      </c>
      <c r="I40" s="598"/>
      <c r="J40" s="598">
        <f t="shared" ref="J40:AA40" si="7">J32/J34</f>
        <v>0.90627217721259357</v>
      </c>
      <c r="K40" s="598"/>
      <c r="L40" s="598">
        <f t="shared" si="7"/>
        <v>1.0311158118770765</v>
      </c>
      <c r="M40" s="598"/>
      <c r="N40" s="598">
        <f t="shared" si="7"/>
        <v>1.1054635779616724</v>
      </c>
      <c r="O40" s="598"/>
      <c r="P40" s="598">
        <f t="shared" si="7"/>
        <v>0.8680765669845385</v>
      </c>
      <c r="Q40" s="598"/>
      <c r="R40" s="598">
        <f t="shared" si="7"/>
        <v>0.91653187114461965</v>
      </c>
      <c r="S40" s="598"/>
      <c r="T40" s="598">
        <f t="shared" si="7"/>
        <v>1.0424687500000001</v>
      </c>
      <c r="U40" s="598"/>
      <c r="V40" s="598">
        <f t="shared" si="7"/>
        <v>1.0479644921552436</v>
      </c>
      <c r="W40" s="598"/>
      <c r="X40" s="598">
        <f t="shared" si="7"/>
        <v>1.0274155940071745</v>
      </c>
      <c r="Y40" s="598"/>
      <c r="Z40" s="598">
        <f t="shared" si="7"/>
        <v>0.95952692442471677</v>
      </c>
      <c r="AA40" s="598">
        <f t="shared" si="7"/>
        <v>1.0119909902105173</v>
      </c>
      <c r="AB40" s="415"/>
    </row>
    <row r="41" spans="1:28">
      <c r="A41" s="415"/>
      <c r="B41" s="415"/>
      <c r="C41" s="415"/>
      <c r="D41" s="415"/>
      <c r="E41" s="415"/>
      <c r="F41" s="415"/>
      <c r="G41" s="415"/>
      <c r="H41" s="415"/>
      <c r="I41" s="415"/>
      <c r="J41" s="415"/>
      <c r="K41" s="415"/>
      <c r="L41" s="415"/>
      <c r="M41" s="415"/>
      <c r="N41" s="415"/>
      <c r="O41" s="415"/>
      <c r="P41" s="415"/>
      <c r="Q41" s="415"/>
      <c r="R41" s="415"/>
      <c r="S41" s="415"/>
      <c r="T41" s="415"/>
      <c r="U41" s="364"/>
      <c r="V41" s="415"/>
      <c r="W41" s="415"/>
      <c r="X41" s="415"/>
      <c r="Y41" s="415"/>
      <c r="Z41" s="415"/>
      <c r="AA41" s="415"/>
      <c r="AB41" s="415"/>
    </row>
    <row r="208" spans="1:2">
      <c r="A208" s="346"/>
      <c r="B208" s="346"/>
    </row>
    <row r="209" spans="1:2">
      <c r="A209" s="346"/>
      <c r="B209" s="346"/>
    </row>
    <row r="210" spans="1:2">
      <c r="A210" s="346"/>
      <c r="B210" s="346"/>
    </row>
  </sheetData>
  <mergeCells count="12">
    <mergeCell ref="Y1:Z1"/>
    <mergeCell ref="K1:L1"/>
    <mergeCell ref="M1:N1"/>
    <mergeCell ref="O1:P1"/>
    <mergeCell ref="Q1:R1"/>
    <mergeCell ref="S1:T1"/>
    <mergeCell ref="U1:V1"/>
    <mergeCell ref="C1:D1"/>
    <mergeCell ref="E1:F1"/>
    <mergeCell ref="G1:H1"/>
    <mergeCell ref="I1:J1"/>
    <mergeCell ref="W1:X1"/>
  </mergeCells>
  <phoneticPr fontId="0" type="noConversion"/>
  <pageMargins left="0" right="0" top="0.75" bottom="0.5" header="0.3" footer="0.3"/>
  <pageSetup orientation="landscape" verticalDpi="300" r:id="rId1"/>
  <headerFooter>
    <oddHeader>&amp;C&amp;"Arial,Bold"&amp;14
Electrical Readings by Building
2012-2013</oddHeader>
  </headerFooter>
  <colBreaks count="1" manualBreakCount="1">
    <brk id="12" max="1048575" man="1"/>
  </colBreaks>
</worksheet>
</file>

<file path=xl/worksheets/sheet18.xml><?xml version="1.0" encoding="utf-8"?>
<worksheet xmlns="http://schemas.openxmlformats.org/spreadsheetml/2006/main" xmlns:r="http://schemas.openxmlformats.org/officeDocument/2006/relationships">
  <sheetPr codeName="Sheet25"/>
  <dimension ref="A1"/>
  <sheetViews>
    <sheetView zoomScaleNormal="100" workbookViewId="0">
      <selection activeCell="Q22" sqref="Q22"/>
    </sheetView>
  </sheetViews>
  <sheetFormatPr defaultRowHeight="12.75"/>
  <sheetData/>
  <phoneticPr fontId="0" type="noConversion"/>
  <pageMargins left="0.5" right="0.5" top="0.75" bottom="0.5" header="0.5" footer="0.25"/>
  <pageSetup orientation="landscape" verticalDpi="300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>
  <sheetPr codeName="Sheet26"/>
  <dimension ref="A1"/>
  <sheetViews>
    <sheetView workbookViewId="0">
      <selection activeCell="B44" sqref="B44"/>
    </sheetView>
  </sheetViews>
  <sheetFormatPr defaultRowHeight="12.75"/>
  <sheetData/>
  <phoneticPr fontId="51" type="noConversion"/>
  <pageMargins left="0.24" right="0.24" top="1" bottom="1" header="0.5" footer="0.5"/>
  <pageSetup orientation="landscape" horizontalDpi="4294967293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>
  <sheetPr codeName="Sheet27">
    <pageSetUpPr fitToPage="1"/>
  </sheetPr>
  <dimension ref="A1:N34"/>
  <sheetViews>
    <sheetView workbookViewId="0">
      <selection activeCell="O31" sqref="O31"/>
    </sheetView>
  </sheetViews>
  <sheetFormatPr defaultRowHeight="12.75"/>
  <cols>
    <col min="1" max="1" width="9.140625" style="349"/>
    <col min="2" max="13" width="9.140625" style="346"/>
  </cols>
  <sheetData>
    <row r="1" spans="1:13" ht="13.5" thickBot="1">
      <c r="A1" s="443" t="s">
        <v>514</v>
      </c>
      <c r="B1" s="610" t="s">
        <v>502</v>
      </c>
      <c r="C1" s="611"/>
      <c r="D1" s="611"/>
      <c r="E1" s="611"/>
      <c r="F1" s="611"/>
      <c r="G1" s="611"/>
      <c r="H1" s="611"/>
      <c r="I1" s="611"/>
      <c r="J1" s="611"/>
      <c r="K1" s="611"/>
      <c r="L1" s="611"/>
      <c r="M1" s="611"/>
    </row>
    <row r="2" spans="1:13">
      <c r="A2" s="439" t="s">
        <v>501</v>
      </c>
      <c r="B2" s="342" t="s">
        <v>182</v>
      </c>
      <c r="C2" s="342" t="s">
        <v>183</v>
      </c>
      <c r="D2" s="342" t="s">
        <v>353</v>
      </c>
      <c r="E2" s="342" t="s">
        <v>354</v>
      </c>
      <c r="F2" s="342" t="s">
        <v>355</v>
      </c>
      <c r="G2" s="342" t="s">
        <v>356</v>
      </c>
      <c r="H2" s="342" t="s">
        <v>357</v>
      </c>
      <c r="I2" s="343" t="s">
        <v>358</v>
      </c>
      <c r="J2" s="343" t="s">
        <v>359</v>
      </c>
      <c r="K2" s="343" t="s">
        <v>191</v>
      </c>
      <c r="L2" s="343" t="s">
        <v>192</v>
      </c>
      <c r="M2" s="344" t="s">
        <v>193</v>
      </c>
    </row>
    <row r="3" spans="1:13">
      <c r="A3" s="345">
        <v>1</v>
      </c>
      <c r="B3">
        <v>32.049999999999997</v>
      </c>
      <c r="C3">
        <v>1.4999999999999999E-2</v>
      </c>
      <c r="D3">
        <v>0</v>
      </c>
      <c r="E3">
        <v>0.33</v>
      </c>
      <c r="F3">
        <v>0</v>
      </c>
      <c r="G3">
        <v>0.10299999999999999</v>
      </c>
      <c r="H3">
        <v>1.651</v>
      </c>
      <c r="I3">
        <v>0</v>
      </c>
      <c r="J3">
        <v>2.09</v>
      </c>
      <c r="K3" s="459">
        <v>2.4870000000000001</v>
      </c>
      <c r="L3">
        <v>2.93</v>
      </c>
      <c r="M3">
        <v>5.48</v>
      </c>
    </row>
    <row r="4" spans="1:13">
      <c r="A4" s="345">
        <v>2</v>
      </c>
      <c r="B4">
        <v>8.15</v>
      </c>
      <c r="C4">
        <v>1.1559999999999999</v>
      </c>
      <c r="D4">
        <v>2.9079999999999999</v>
      </c>
      <c r="E4">
        <v>0.996</v>
      </c>
      <c r="F4">
        <v>3.835</v>
      </c>
      <c r="G4">
        <v>3.5710000000000002</v>
      </c>
      <c r="H4">
        <v>4.5869999999999997</v>
      </c>
      <c r="I4">
        <v>0.13600000000000001</v>
      </c>
      <c r="J4">
        <v>12.24</v>
      </c>
      <c r="K4" s="459">
        <v>1.446</v>
      </c>
      <c r="L4">
        <v>9.92</v>
      </c>
      <c r="M4">
        <v>9.6</v>
      </c>
    </row>
    <row r="5" spans="1:13">
      <c r="A5" s="345">
        <v>3</v>
      </c>
      <c r="B5">
        <v>0</v>
      </c>
      <c r="C5">
        <v>3.714</v>
      </c>
      <c r="D5">
        <v>1.6220000000000001</v>
      </c>
      <c r="E5">
        <v>1.4390000000000001</v>
      </c>
      <c r="F5">
        <v>3.3000000000000002E-2</v>
      </c>
      <c r="G5">
        <v>1E-3</v>
      </c>
      <c r="H5">
        <v>1.274</v>
      </c>
      <c r="I5">
        <v>6.7000000000000004E-2</v>
      </c>
      <c r="J5">
        <v>15.39</v>
      </c>
      <c r="K5" s="459">
        <v>0</v>
      </c>
      <c r="L5">
        <v>4.3099999999999996</v>
      </c>
      <c r="M5">
        <v>3.49</v>
      </c>
    </row>
    <row r="6" spans="1:13">
      <c r="A6" s="345">
        <v>4</v>
      </c>
      <c r="B6">
        <v>0</v>
      </c>
      <c r="C6">
        <v>2.8079999999999998</v>
      </c>
      <c r="D6">
        <v>2.8690000000000002</v>
      </c>
      <c r="E6">
        <v>0</v>
      </c>
      <c r="F6">
        <v>0.91</v>
      </c>
      <c r="G6">
        <v>0</v>
      </c>
      <c r="H6">
        <v>8.6519999999999992</v>
      </c>
      <c r="I6">
        <v>2.2610000000000001</v>
      </c>
      <c r="J6">
        <v>0.12</v>
      </c>
      <c r="K6" s="459">
        <v>1.6910000000000001</v>
      </c>
      <c r="L6">
        <v>0.31</v>
      </c>
      <c r="M6">
        <v>1.25</v>
      </c>
    </row>
    <row r="7" spans="1:13">
      <c r="A7" s="345">
        <v>5</v>
      </c>
      <c r="B7">
        <v>2.56</v>
      </c>
      <c r="C7">
        <v>2.0449999999999999</v>
      </c>
      <c r="D7">
        <v>2.8279999999999998</v>
      </c>
      <c r="E7">
        <v>0.51500000000000001</v>
      </c>
      <c r="F7">
        <v>29.446000000000002</v>
      </c>
      <c r="G7">
        <v>3.0000000000000001E-3</v>
      </c>
      <c r="H7">
        <v>6.4480000000000004</v>
      </c>
      <c r="I7">
        <v>2.1640000000000001</v>
      </c>
      <c r="J7">
        <v>8.73</v>
      </c>
      <c r="K7" s="459">
        <v>4.9039999999999999</v>
      </c>
      <c r="L7">
        <v>2.71</v>
      </c>
      <c r="M7">
        <v>1.35</v>
      </c>
    </row>
    <row r="8" spans="1:13">
      <c r="A8" s="345">
        <v>6</v>
      </c>
      <c r="B8">
        <v>0.95</v>
      </c>
      <c r="C8">
        <v>0.185</v>
      </c>
      <c r="D8">
        <v>2.9340000000000002</v>
      </c>
      <c r="E8">
        <v>1.9039999999999999</v>
      </c>
      <c r="F8">
        <v>21.751000000000001</v>
      </c>
      <c r="G8">
        <v>0.93300000000000005</v>
      </c>
      <c r="H8">
        <v>13.433</v>
      </c>
      <c r="I8">
        <v>0.50700000000000001</v>
      </c>
      <c r="J8">
        <v>0.49</v>
      </c>
      <c r="K8" s="459">
        <v>1.4159999999999999</v>
      </c>
      <c r="L8">
        <v>1.89</v>
      </c>
      <c r="M8">
        <v>0.25</v>
      </c>
    </row>
    <row r="9" spans="1:13">
      <c r="A9" s="345">
        <v>7</v>
      </c>
      <c r="B9">
        <v>0.02</v>
      </c>
      <c r="C9">
        <v>3.6349999999999998</v>
      </c>
      <c r="D9">
        <v>0.34100000000000003</v>
      </c>
      <c r="E9">
        <v>4.7E-2</v>
      </c>
      <c r="F9">
        <v>4.2930000000000001</v>
      </c>
      <c r="G9">
        <v>5.04</v>
      </c>
      <c r="H9">
        <v>8.1959999999999997</v>
      </c>
      <c r="I9">
        <v>1.32</v>
      </c>
      <c r="J9">
        <v>3.09</v>
      </c>
      <c r="K9" s="459">
        <v>0.45700000000000002</v>
      </c>
      <c r="L9">
        <v>3.09</v>
      </c>
      <c r="M9">
        <v>1.37</v>
      </c>
    </row>
    <row r="10" spans="1:13">
      <c r="A10" s="345">
        <v>8</v>
      </c>
      <c r="B10">
        <v>0.79</v>
      </c>
      <c r="C10">
        <v>2.0619999999999998</v>
      </c>
      <c r="D10">
        <v>0.39800000000000002</v>
      </c>
      <c r="E10">
        <v>7.673</v>
      </c>
      <c r="F10">
        <v>2.641</v>
      </c>
      <c r="G10">
        <v>4.3999999999999997E-2</v>
      </c>
      <c r="H10">
        <v>0</v>
      </c>
      <c r="I10">
        <v>5.0110000000000001</v>
      </c>
      <c r="J10">
        <v>3.91</v>
      </c>
      <c r="K10" s="459">
        <v>0.59299999999999997</v>
      </c>
      <c r="L10">
        <v>3.91</v>
      </c>
      <c r="M10">
        <v>2.92</v>
      </c>
    </row>
    <row r="11" spans="1:13">
      <c r="A11" s="345">
        <v>9</v>
      </c>
      <c r="B11">
        <v>0.02</v>
      </c>
      <c r="C11">
        <v>0.126</v>
      </c>
      <c r="D11">
        <v>1.08</v>
      </c>
      <c r="E11">
        <v>13.875999999999999</v>
      </c>
      <c r="F11">
        <v>3.351</v>
      </c>
      <c r="G11">
        <v>2.8159999999999998</v>
      </c>
      <c r="H11">
        <v>0.09</v>
      </c>
      <c r="I11">
        <v>2.74</v>
      </c>
      <c r="J11">
        <v>9.23</v>
      </c>
      <c r="K11" s="459">
        <v>2.1749999999999998</v>
      </c>
      <c r="L11">
        <v>9.23</v>
      </c>
      <c r="M11">
        <v>0</v>
      </c>
    </row>
    <row r="12" spans="1:13">
      <c r="A12" s="345">
        <v>10</v>
      </c>
      <c r="B12">
        <v>5.64</v>
      </c>
      <c r="C12">
        <v>1.1020000000000001</v>
      </c>
      <c r="D12">
        <v>3.83</v>
      </c>
      <c r="E12">
        <v>0.02</v>
      </c>
      <c r="F12">
        <v>9.9670000000000005</v>
      </c>
      <c r="G12">
        <v>5.0220000000000002</v>
      </c>
      <c r="H12">
        <v>5.859</v>
      </c>
      <c r="I12">
        <v>9.4770000000000003</v>
      </c>
      <c r="J12">
        <v>4.5999999999999996</v>
      </c>
      <c r="K12" s="459">
        <v>1.5449999999999999</v>
      </c>
      <c r="L12">
        <v>4.5999999999999996</v>
      </c>
      <c r="M12">
        <v>0.57999999999999996</v>
      </c>
    </row>
    <row r="13" spans="1:13">
      <c r="A13" s="345">
        <v>11</v>
      </c>
      <c r="B13">
        <v>2.5099999999999998</v>
      </c>
      <c r="C13">
        <v>0</v>
      </c>
      <c r="D13">
        <v>1.2030000000000001</v>
      </c>
      <c r="E13">
        <v>11.273999999999999</v>
      </c>
      <c r="F13">
        <v>1.897</v>
      </c>
      <c r="G13">
        <v>11.465</v>
      </c>
      <c r="H13">
        <v>2.4449999999999998</v>
      </c>
      <c r="I13">
        <v>4.1059999999999999</v>
      </c>
      <c r="J13">
        <v>0.88</v>
      </c>
      <c r="K13" s="459">
        <v>13.532</v>
      </c>
      <c r="L13">
        <v>0.88</v>
      </c>
      <c r="M13">
        <v>11.86</v>
      </c>
    </row>
    <row r="14" spans="1:13">
      <c r="A14" s="345">
        <v>12</v>
      </c>
      <c r="B14">
        <v>2.98</v>
      </c>
      <c r="C14">
        <v>0.34899999999999998</v>
      </c>
      <c r="D14">
        <v>0</v>
      </c>
      <c r="E14">
        <v>13.491</v>
      </c>
      <c r="F14">
        <v>7.5679999999999996</v>
      </c>
      <c r="G14">
        <v>9.8040000000000003</v>
      </c>
      <c r="H14">
        <v>4.72</v>
      </c>
      <c r="I14">
        <v>2.5099999999999998</v>
      </c>
      <c r="J14">
        <v>12.08</v>
      </c>
      <c r="K14" s="459">
        <v>5.3330000000000002</v>
      </c>
      <c r="L14">
        <v>12.08</v>
      </c>
      <c r="M14">
        <v>5.1100000000000003</v>
      </c>
    </row>
    <row r="15" spans="1:13">
      <c r="A15" s="345">
        <v>13</v>
      </c>
      <c r="B15">
        <v>0.19</v>
      </c>
      <c r="C15">
        <v>3.21</v>
      </c>
      <c r="D15">
        <v>0</v>
      </c>
      <c r="E15">
        <v>1.333</v>
      </c>
      <c r="F15">
        <v>3.9049999999999998</v>
      </c>
      <c r="G15">
        <v>10.29</v>
      </c>
      <c r="H15">
        <v>4.1500000000000004</v>
      </c>
      <c r="I15">
        <v>18.728000000000002</v>
      </c>
      <c r="J15">
        <v>1.91</v>
      </c>
      <c r="K15" s="459">
        <v>10.821999999999999</v>
      </c>
      <c r="L15">
        <v>1.91</v>
      </c>
      <c r="M15">
        <v>0.02</v>
      </c>
    </row>
    <row r="16" spans="1:13">
      <c r="A16" s="345">
        <v>14</v>
      </c>
      <c r="B16">
        <v>0.51</v>
      </c>
      <c r="C16">
        <v>3.8849999999999998</v>
      </c>
      <c r="D16">
        <v>0.98599999999999999</v>
      </c>
      <c r="E16">
        <v>0.84099999999999997</v>
      </c>
      <c r="F16">
        <v>1.7250000000000001</v>
      </c>
      <c r="G16">
        <v>0.35399999999999998</v>
      </c>
      <c r="H16">
        <v>8.99</v>
      </c>
      <c r="I16">
        <v>0.223</v>
      </c>
      <c r="J16">
        <v>1.1399999999999999</v>
      </c>
      <c r="K16" s="459">
        <v>1.121</v>
      </c>
      <c r="L16">
        <v>0</v>
      </c>
      <c r="M16">
        <v>0.08</v>
      </c>
    </row>
    <row r="17" spans="1:13">
      <c r="A17" s="345">
        <v>15</v>
      </c>
      <c r="B17">
        <v>0.57999999999999996</v>
      </c>
      <c r="C17">
        <v>0.29399999999999998</v>
      </c>
      <c r="D17">
        <v>0</v>
      </c>
      <c r="E17">
        <v>0</v>
      </c>
      <c r="F17">
        <v>5.375</v>
      </c>
      <c r="G17">
        <v>0</v>
      </c>
      <c r="H17">
        <v>2.08</v>
      </c>
      <c r="I17">
        <v>0.20300000000000001</v>
      </c>
      <c r="J17">
        <v>0.54200000000000004</v>
      </c>
      <c r="K17" s="459">
        <v>0.106</v>
      </c>
      <c r="L17">
        <v>2.1800000000000002</v>
      </c>
      <c r="M17">
        <v>4.8099999999999996</v>
      </c>
    </row>
    <row r="18" spans="1:13">
      <c r="A18" s="345">
        <v>16</v>
      </c>
      <c r="B18">
        <v>1.18</v>
      </c>
      <c r="C18">
        <v>3.0000000000000001E-3</v>
      </c>
      <c r="D18">
        <v>2.7570000000000001</v>
      </c>
      <c r="E18">
        <v>3.3730000000000002</v>
      </c>
      <c r="F18">
        <v>0.63700000000000001</v>
      </c>
      <c r="G18">
        <v>1.1399999999999999</v>
      </c>
      <c r="H18">
        <v>3.14</v>
      </c>
      <c r="I18">
        <v>5.0279999999999996</v>
      </c>
      <c r="J18">
        <v>9.4489999999999998</v>
      </c>
      <c r="K18" s="459">
        <v>0.374</v>
      </c>
      <c r="L18">
        <v>1.29</v>
      </c>
      <c r="M18">
        <v>12.82</v>
      </c>
    </row>
    <row r="19" spans="1:13">
      <c r="A19" s="345">
        <v>17</v>
      </c>
      <c r="B19">
        <v>1.01</v>
      </c>
      <c r="C19">
        <v>10.308999999999999</v>
      </c>
      <c r="D19">
        <v>13.16</v>
      </c>
      <c r="E19">
        <v>3.089</v>
      </c>
      <c r="F19">
        <v>1.5249999999999999</v>
      </c>
      <c r="G19">
        <v>0.54200000000000004</v>
      </c>
      <c r="H19">
        <v>12.41</v>
      </c>
      <c r="I19">
        <v>6.891</v>
      </c>
      <c r="J19">
        <v>10.670999999999999</v>
      </c>
      <c r="K19" s="459">
        <v>2.7189999999999999</v>
      </c>
      <c r="L19">
        <v>6.54</v>
      </c>
      <c r="M19">
        <v>4.68</v>
      </c>
    </row>
    <row r="20" spans="1:13">
      <c r="A20" s="345">
        <v>18</v>
      </c>
      <c r="B20">
        <v>0.04</v>
      </c>
      <c r="C20">
        <v>0.83599999999999997</v>
      </c>
      <c r="D20">
        <v>4.8000000000000001E-2</v>
      </c>
      <c r="E20">
        <v>4.3570000000000002</v>
      </c>
      <c r="F20">
        <v>7.0570000000000004</v>
      </c>
      <c r="G20">
        <v>9.4489999999999998</v>
      </c>
      <c r="H20">
        <v>0.39</v>
      </c>
      <c r="I20">
        <v>0.70599999999999996</v>
      </c>
      <c r="J20">
        <v>1.9039999999999999</v>
      </c>
      <c r="K20" s="459">
        <v>3.2160000000000002</v>
      </c>
      <c r="L20">
        <v>0.3</v>
      </c>
      <c r="M20">
        <v>0.4</v>
      </c>
    </row>
    <row r="21" spans="1:13">
      <c r="A21" s="345">
        <v>19</v>
      </c>
      <c r="B21">
        <v>0.08</v>
      </c>
      <c r="C21">
        <v>1.4550000000000001</v>
      </c>
      <c r="D21">
        <v>1E-3</v>
      </c>
      <c r="E21">
        <v>0.57499999999999996</v>
      </c>
      <c r="F21">
        <v>2E-3</v>
      </c>
      <c r="G21">
        <v>10.670999999999999</v>
      </c>
      <c r="H21">
        <v>11.53</v>
      </c>
      <c r="I21">
        <v>3.8919999999999999</v>
      </c>
      <c r="J21">
        <v>4.7E-2</v>
      </c>
      <c r="K21" s="459">
        <v>25.134</v>
      </c>
      <c r="L21">
        <v>4.51</v>
      </c>
      <c r="M21">
        <v>2.72</v>
      </c>
    </row>
    <row r="22" spans="1:13">
      <c r="A22" s="345">
        <v>20</v>
      </c>
      <c r="B22">
        <v>0.99</v>
      </c>
      <c r="C22">
        <v>0</v>
      </c>
      <c r="D22">
        <v>0.16500000000000001</v>
      </c>
      <c r="E22">
        <v>10.862</v>
      </c>
      <c r="F22">
        <v>2E-3</v>
      </c>
      <c r="G22">
        <v>0.91200000000000003</v>
      </c>
      <c r="H22">
        <v>2.56</v>
      </c>
      <c r="I22">
        <v>25.265999999999998</v>
      </c>
      <c r="J22">
        <v>7.673</v>
      </c>
      <c r="K22" s="459">
        <v>22.876999999999999</v>
      </c>
      <c r="L22">
        <v>0.89</v>
      </c>
      <c r="M22">
        <v>2.78</v>
      </c>
    </row>
    <row r="23" spans="1:13">
      <c r="A23" s="345">
        <v>21</v>
      </c>
      <c r="B23">
        <v>2.79</v>
      </c>
      <c r="C23">
        <v>0.68200000000000005</v>
      </c>
      <c r="D23">
        <v>0</v>
      </c>
      <c r="E23">
        <v>6.0190000000000001</v>
      </c>
      <c r="F23">
        <v>0.11</v>
      </c>
      <c r="G23">
        <v>5.8000000000000003E-2</v>
      </c>
      <c r="H23">
        <v>8.2899999999999991</v>
      </c>
      <c r="I23">
        <v>8.0299999999999994</v>
      </c>
      <c r="J23">
        <v>13.875999999999999</v>
      </c>
      <c r="K23" s="459">
        <v>16.143999999999998</v>
      </c>
      <c r="L23">
        <v>0.51</v>
      </c>
      <c r="M23">
        <v>21.97</v>
      </c>
    </row>
    <row r="24" spans="1:13">
      <c r="A24" s="345">
        <v>22</v>
      </c>
      <c r="B24">
        <v>12.93</v>
      </c>
      <c r="C24">
        <v>0.58199999999999996</v>
      </c>
      <c r="D24">
        <v>4.1000000000000002E-2</v>
      </c>
      <c r="E24">
        <v>5.12</v>
      </c>
      <c r="F24">
        <v>2.1880000000000002</v>
      </c>
      <c r="G24">
        <v>2.3130000000000002</v>
      </c>
      <c r="H24">
        <v>0</v>
      </c>
      <c r="I24">
        <v>10.079000000000001</v>
      </c>
      <c r="J24">
        <v>0.02</v>
      </c>
      <c r="K24" s="459">
        <v>1.0999999999999999E-2</v>
      </c>
      <c r="L24">
        <v>17</v>
      </c>
      <c r="M24">
        <v>13.44</v>
      </c>
    </row>
    <row r="25" spans="1:13">
      <c r="A25" s="345">
        <v>23</v>
      </c>
      <c r="B25">
        <v>7.0000000000000007E-2</v>
      </c>
      <c r="C25">
        <v>0.14799999999999999</v>
      </c>
      <c r="D25">
        <v>1.5089999999999999</v>
      </c>
      <c r="E25">
        <v>10.519</v>
      </c>
      <c r="F25">
        <v>2.9710000000000001</v>
      </c>
      <c r="G25">
        <v>18.837</v>
      </c>
      <c r="H25">
        <v>2.59</v>
      </c>
      <c r="I25">
        <v>0.42799999999999999</v>
      </c>
      <c r="J25">
        <v>6.7450000000000001</v>
      </c>
      <c r="K25" s="459">
        <v>0</v>
      </c>
      <c r="L25">
        <v>7.673</v>
      </c>
      <c r="M25">
        <v>0.92</v>
      </c>
    </row>
    <row r="26" spans="1:13">
      <c r="A26" s="345">
        <v>24</v>
      </c>
      <c r="B26">
        <v>1.01</v>
      </c>
      <c r="C26">
        <v>0.52600000000000002</v>
      </c>
      <c r="D26">
        <v>3.4390000000000001</v>
      </c>
      <c r="E26">
        <v>1.4259999999999999</v>
      </c>
      <c r="F26">
        <v>1.244</v>
      </c>
      <c r="G26">
        <v>26.882999999999999</v>
      </c>
      <c r="H26">
        <v>3.54</v>
      </c>
      <c r="I26">
        <v>12.893000000000001</v>
      </c>
      <c r="J26">
        <v>0.28499999999999998</v>
      </c>
      <c r="K26" s="459">
        <v>0</v>
      </c>
      <c r="L26">
        <v>13.875999999999999</v>
      </c>
      <c r="M26">
        <v>6.7</v>
      </c>
    </row>
    <row r="27" spans="1:13">
      <c r="A27" s="345">
        <v>25</v>
      </c>
      <c r="B27">
        <v>0</v>
      </c>
      <c r="C27">
        <v>0.67400000000000004</v>
      </c>
      <c r="D27">
        <v>4.5570000000000004</v>
      </c>
      <c r="E27">
        <v>4.71</v>
      </c>
      <c r="F27">
        <v>2.2330000000000001</v>
      </c>
      <c r="G27">
        <v>0.40300000000000002</v>
      </c>
      <c r="H27">
        <v>0.27</v>
      </c>
      <c r="I27">
        <v>1.345</v>
      </c>
      <c r="J27">
        <v>0.125</v>
      </c>
      <c r="K27" s="459">
        <v>2.3780000000000001</v>
      </c>
      <c r="L27">
        <v>0.02</v>
      </c>
      <c r="M27">
        <v>6.5</v>
      </c>
    </row>
    <row r="28" spans="1:13">
      <c r="A28" s="345">
        <v>26</v>
      </c>
      <c r="B28">
        <v>3.2000000000000001E-2</v>
      </c>
      <c r="C28">
        <v>2.2429999999999999</v>
      </c>
      <c r="D28">
        <v>0.32100000000000001</v>
      </c>
      <c r="E28">
        <v>0.06</v>
      </c>
      <c r="F28">
        <v>20.117999999999999</v>
      </c>
      <c r="G28">
        <v>4.5679999999999996</v>
      </c>
      <c r="H28">
        <v>0.02</v>
      </c>
      <c r="I28">
        <v>11.656000000000001</v>
      </c>
      <c r="J28">
        <v>1.7999999999999999E-2</v>
      </c>
      <c r="K28" s="459">
        <v>3.55</v>
      </c>
      <c r="L28">
        <v>11.273999999999999</v>
      </c>
      <c r="M28">
        <v>0</v>
      </c>
    </row>
    <row r="29" spans="1:13">
      <c r="A29" s="345">
        <v>27</v>
      </c>
      <c r="B29">
        <v>6.5720000000000001</v>
      </c>
      <c r="C29">
        <v>4.62</v>
      </c>
      <c r="D29">
        <v>0</v>
      </c>
      <c r="E29">
        <v>0.09</v>
      </c>
      <c r="F29">
        <v>6.7450000000000001</v>
      </c>
      <c r="G29">
        <v>1.738</v>
      </c>
      <c r="H29">
        <v>3.11</v>
      </c>
      <c r="I29">
        <v>0.71599999999999997</v>
      </c>
      <c r="J29">
        <v>1.0389999999999999</v>
      </c>
      <c r="K29" s="459">
        <v>4.5999999999999999E-2</v>
      </c>
      <c r="L29">
        <v>13.491</v>
      </c>
      <c r="M29">
        <v>2.09</v>
      </c>
    </row>
    <row r="30" spans="1:13">
      <c r="A30" s="345">
        <v>28</v>
      </c>
      <c r="B30">
        <v>3.1269999999999998</v>
      </c>
      <c r="C30">
        <v>0.80200000000000005</v>
      </c>
      <c r="D30">
        <v>1E-3</v>
      </c>
      <c r="E30">
        <v>0</v>
      </c>
      <c r="F30">
        <v>0.28499999999999998</v>
      </c>
      <c r="G30">
        <v>0.89</v>
      </c>
      <c r="H30">
        <v>7.98</v>
      </c>
      <c r="I30">
        <v>0.99399999999999999</v>
      </c>
      <c r="J30">
        <v>0.84099999999999997</v>
      </c>
      <c r="K30" s="459">
        <v>1.7000000000000001E-2</v>
      </c>
      <c r="L30">
        <v>1.333</v>
      </c>
      <c r="M30">
        <v>12.24</v>
      </c>
    </row>
    <row r="31" spans="1:13">
      <c r="A31" s="345">
        <v>29</v>
      </c>
      <c r="B31">
        <v>1.476</v>
      </c>
      <c r="C31">
        <v>0.17599999999999999</v>
      </c>
      <c r="D31">
        <v>0.90500000000000003</v>
      </c>
      <c r="E31">
        <v>0</v>
      </c>
      <c r="F31">
        <v>0.125</v>
      </c>
      <c r="G31">
        <v>0.69199999999999995</v>
      </c>
      <c r="H31">
        <v>13.48</v>
      </c>
      <c r="I31">
        <v>0.159</v>
      </c>
      <c r="J31"/>
      <c r="K31" s="459">
        <v>1.0999999999999999E-2</v>
      </c>
      <c r="L31">
        <v>0.84099999999999997</v>
      </c>
      <c r="M31">
        <v>0.56000000000000005</v>
      </c>
    </row>
    <row r="32" spans="1:13">
      <c r="A32" s="345">
        <v>30</v>
      </c>
      <c r="B32">
        <v>9.4E-2</v>
      </c>
      <c r="C32">
        <v>5.5E-2</v>
      </c>
      <c r="D32">
        <v>2.9870000000000001</v>
      </c>
      <c r="E32">
        <v>4.0000000000000001E-3</v>
      </c>
      <c r="F32">
        <v>1.7999999999999999E-2</v>
      </c>
      <c r="G32">
        <v>0.92900000000000005</v>
      </c>
      <c r="H32">
        <v>7.58</v>
      </c>
      <c r="I32">
        <v>4.1669999999999998</v>
      </c>
      <c r="J32"/>
      <c r="K32" s="459">
        <v>1.016</v>
      </c>
      <c r="L32">
        <v>0.125</v>
      </c>
      <c r="M32">
        <v>8.4600000000000009</v>
      </c>
    </row>
    <row r="33" spans="1:14">
      <c r="A33" s="345">
        <v>31</v>
      </c>
      <c r="B33"/>
      <c r="C33">
        <v>1.7809999999999999</v>
      </c>
      <c r="D33">
        <v>3.7509999999999999</v>
      </c>
      <c r="E33"/>
      <c r="F33">
        <v>1.0389999999999999</v>
      </c>
      <c r="G33"/>
      <c r="H33">
        <v>0.81</v>
      </c>
      <c r="I33">
        <v>0</v>
      </c>
      <c r="J33"/>
      <c r="K33" s="459">
        <v>1.792</v>
      </c>
      <c r="L33"/>
      <c r="M33">
        <v>5.6</v>
      </c>
    </row>
    <row r="34" spans="1:14" ht="13.5" thickBot="1">
      <c r="A34" s="347" t="s">
        <v>194</v>
      </c>
      <c r="B34" s="355">
        <f>SUM(B3:B32)</f>
        <v>88.350999999999985</v>
      </c>
      <c r="C34" s="348">
        <f>SUM(C3:C33)</f>
        <v>49.478000000000009</v>
      </c>
      <c r="D34" s="348">
        <f>SUM(D3:D33)</f>
        <v>54.640999999999998</v>
      </c>
      <c r="E34" s="348">
        <f>SUM(E3:E33)</f>
        <v>103.94300000000001</v>
      </c>
      <c r="F34" s="348">
        <f>SUM(F3:F33)</f>
        <v>142.99600000000001</v>
      </c>
      <c r="G34" s="348">
        <f t="shared" ref="G34:M34" si="0">SUM(G3:G33)</f>
        <v>129.471</v>
      </c>
      <c r="H34" s="348">
        <f t="shared" si="0"/>
        <v>150.27500000000001</v>
      </c>
      <c r="I34" s="348">
        <f t="shared" si="0"/>
        <v>141.703</v>
      </c>
      <c r="J34" s="348">
        <f t="shared" si="0"/>
        <v>129.13500000000002</v>
      </c>
      <c r="K34" s="348">
        <f t="shared" si="0"/>
        <v>126.91299999999998</v>
      </c>
      <c r="L34" s="348">
        <f t="shared" si="0"/>
        <v>139.62300000000002</v>
      </c>
      <c r="M34" s="348">
        <f t="shared" si="0"/>
        <v>150.05000000000001</v>
      </c>
      <c r="N34" s="460">
        <f>SUM(B34:M34)</f>
        <v>1406.579</v>
      </c>
    </row>
  </sheetData>
  <mergeCells count="1">
    <mergeCell ref="B1:M1"/>
  </mergeCells>
  <phoneticPr fontId="51" type="noConversion"/>
  <pageMargins left="0.75" right="0.75" top="1" bottom="1" header="0.5" footer="0.5"/>
  <pageSetup scale="96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>
  <sheetPr codeName="Sheet28">
    <pageSetUpPr fitToPage="1"/>
  </sheetPr>
  <dimension ref="A1:K37"/>
  <sheetViews>
    <sheetView topLeftCell="A16" workbookViewId="0">
      <selection activeCell="A38" sqref="A38"/>
    </sheetView>
  </sheetViews>
  <sheetFormatPr defaultRowHeight="12.75"/>
  <cols>
    <col min="1" max="1" width="30" customWidth="1"/>
    <col min="2" max="2" width="8.42578125" bestFit="1" customWidth="1"/>
    <col min="3" max="3" width="10.5703125" customWidth="1"/>
    <col min="4" max="4" width="11.140625" customWidth="1"/>
    <col min="5" max="5" width="12" customWidth="1"/>
    <col min="6" max="6" width="11.5703125" customWidth="1"/>
    <col min="7" max="7" width="11.42578125" customWidth="1"/>
    <col min="8" max="8" width="10.85546875" customWidth="1"/>
    <col min="9" max="9" width="11.28515625" customWidth="1"/>
    <col min="10" max="10" width="10.42578125" customWidth="1"/>
    <col min="11" max="11" width="12.7109375" customWidth="1"/>
  </cols>
  <sheetData>
    <row r="1" spans="1:11" ht="15.75">
      <c r="A1" s="333" t="s">
        <v>513</v>
      </c>
      <c r="B1" s="334"/>
      <c r="C1" s="334"/>
      <c r="D1" s="334"/>
      <c r="E1" s="334"/>
      <c r="F1" s="334"/>
      <c r="G1" s="334"/>
      <c r="H1" s="334"/>
      <c r="I1" s="334"/>
      <c r="J1" s="334"/>
      <c r="K1" s="334"/>
    </row>
    <row r="2" spans="1:11" ht="15">
      <c r="A2" s="327"/>
      <c r="B2" s="334"/>
      <c r="C2" s="334"/>
      <c r="D2" s="334"/>
      <c r="E2" s="334"/>
      <c r="F2" s="334"/>
      <c r="G2" s="334"/>
      <c r="H2" s="334"/>
      <c r="I2" s="334"/>
      <c r="J2" s="334"/>
      <c r="K2" s="334"/>
    </row>
    <row r="3" spans="1:11" ht="15">
      <c r="A3" s="334"/>
      <c r="B3" s="334"/>
      <c r="C3" s="334"/>
      <c r="D3" s="334"/>
      <c r="E3" s="334"/>
      <c r="F3" s="334"/>
      <c r="G3" s="334"/>
      <c r="H3" s="334"/>
      <c r="I3" s="334"/>
      <c r="J3" s="334"/>
      <c r="K3" s="334"/>
    </row>
    <row r="4" spans="1:11" ht="15.75">
      <c r="A4" s="334"/>
      <c r="B4" s="335" t="s">
        <v>330</v>
      </c>
      <c r="C4" s="335" t="s">
        <v>331</v>
      </c>
      <c r="D4" s="335" t="s">
        <v>332</v>
      </c>
      <c r="E4" s="335" t="s">
        <v>333</v>
      </c>
      <c r="F4" s="335" t="s">
        <v>334</v>
      </c>
      <c r="G4" s="335" t="s">
        <v>335</v>
      </c>
      <c r="H4" s="335" t="s">
        <v>336</v>
      </c>
      <c r="I4" s="335" t="s">
        <v>337</v>
      </c>
      <c r="J4" s="335" t="s">
        <v>193</v>
      </c>
      <c r="K4" s="335" t="s">
        <v>338</v>
      </c>
    </row>
    <row r="5" spans="1:11" ht="15.75">
      <c r="A5" s="334"/>
      <c r="B5" s="335"/>
      <c r="C5" s="335"/>
      <c r="D5" s="335"/>
      <c r="E5" s="335"/>
      <c r="F5" s="335"/>
      <c r="G5" s="335"/>
      <c r="H5" s="335"/>
      <c r="I5" s="335"/>
      <c r="J5" s="335"/>
      <c r="K5" s="334"/>
    </row>
    <row r="6" spans="1:11" ht="15.75">
      <c r="A6" s="333" t="s">
        <v>339</v>
      </c>
      <c r="B6" s="335"/>
      <c r="C6" s="335"/>
      <c r="D6" s="335"/>
      <c r="E6" s="335"/>
      <c r="F6" s="335"/>
      <c r="G6" s="335"/>
      <c r="H6" s="335"/>
      <c r="I6" s="335"/>
      <c r="J6" s="335"/>
      <c r="K6" s="334"/>
    </row>
    <row r="7" spans="1:11" ht="15">
      <c r="A7" s="334"/>
      <c r="B7" s="336"/>
      <c r="C7" s="336"/>
      <c r="D7" s="336"/>
      <c r="E7" s="336"/>
      <c r="F7" s="336"/>
      <c r="G7" s="336"/>
      <c r="H7" s="336"/>
      <c r="I7" s="336"/>
      <c r="J7" s="336"/>
      <c r="K7" s="334"/>
    </row>
    <row r="8" spans="1:11" ht="15.75">
      <c r="A8" s="337" t="s">
        <v>340</v>
      </c>
      <c r="B8" s="338"/>
      <c r="C8" s="338">
        <v>3.7686299999999999</v>
      </c>
      <c r="D8" s="338">
        <v>4.3864299999999998</v>
      </c>
      <c r="E8" s="338">
        <v>4.4445300000000003</v>
      </c>
      <c r="F8" s="338">
        <v>4.0351299999999997</v>
      </c>
      <c r="G8" s="338">
        <v>4.0180300000000004</v>
      </c>
      <c r="H8" s="338">
        <v>4.0891299999999999</v>
      </c>
      <c r="I8" s="338">
        <v>4.7096299999999998</v>
      </c>
      <c r="J8" s="338">
        <v>4.92753</v>
      </c>
      <c r="K8" s="338"/>
    </row>
    <row r="9" spans="1:11" ht="15.75">
      <c r="A9" s="339"/>
      <c r="B9" s="340"/>
      <c r="C9" s="340"/>
      <c r="D9" s="340"/>
      <c r="E9" s="340"/>
      <c r="F9" s="338"/>
      <c r="G9" s="338"/>
      <c r="H9" s="338"/>
      <c r="I9" s="338"/>
      <c r="J9" s="338"/>
      <c r="K9" s="338"/>
    </row>
    <row r="10" spans="1:11" ht="15.75">
      <c r="A10" s="337" t="s">
        <v>341</v>
      </c>
      <c r="B10" s="338"/>
      <c r="C10" s="338">
        <v>3.2679999999999998</v>
      </c>
      <c r="D10" s="338">
        <v>3.1835</v>
      </c>
      <c r="E10" s="338">
        <v>3.2210000000000001</v>
      </c>
      <c r="F10" s="338">
        <v>3.1659999999999999</v>
      </c>
      <c r="G10" s="338">
        <v>3.0470000000000002</v>
      </c>
      <c r="H10" s="338">
        <v>3.54</v>
      </c>
      <c r="I10" s="338">
        <v>3.6349999999999998</v>
      </c>
      <c r="J10" s="338">
        <v>3.6349999999999998</v>
      </c>
      <c r="K10" s="338"/>
    </row>
    <row r="11" spans="1:11" ht="15.75">
      <c r="A11" s="339"/>
      <c r="B11" s="338"/>
      <c r="C11" s="338"/>
      <c r="D11" s="338"/>
      <c r="E11" s="338"/>
      <c r="F11" s="338"/>
      <c r="G11" s="338"/>
      <c r="H11" s="338"/>
      <c r="I11" s="338"/>
      <c r="J11" s="338"/>
      <c r="K11" s="338"/>
    </row>
    <row r="12" spans="1:11" ht="15.75">
      <c r="A12" s="337" t="s">
        <v>342</v>
      </c>
      <c r="B12" s="338" t="s">
        <v>531</v>
      </c>
      <c r="C12" s="338" t="s">
        <v>531</v>
      </c>
      <c r="D12" s="338" t="s">
        <v>531</v>
      </c>
      <c r="E12" s="338" t="s">
        <v>531</v>
      </c>
      <c r="F12" s="338" t="s">
        <v>531</v>
      </c>
      <c r="G12" s="338" t="s">
        <v>531</v>
      </c>
      <c r="H12" s="338" t="s">
        <v>531</v>
      </c>
      <c r="I12" s="338" t="s">
        <v>531</v>
      </c>
      <c r="J12" s="338" t="s">
        <v>531</v>
      </c>
      <c r="K12" s="338"/>
    </row>
    <row r="13" spans="1:11" ht="15.75">
      <c r="A13" s="339"/>
      <c r="B13" s="338"/>
      <c r="C13" s="338"/>
      <c r="D13" s="338"/>
      <c r="E13" s="338"/>
      <c r="F13" s="338"/>
      <c r="G13" s="338"/>
      <c r="H13" s="338"/>
      <c r="I13" s="338"/>
      <c r="J13" s="338"/>
      <c r="K13" s="334"/>
    </row>
    <row r="14" spans="1:11" ht="15.75">
      <c r="A14" s="337" t="s">
        <v>343</v>
      </c>
      <c r="B14" s="338"/>
      <c r="C14" s="338" t="s">
        <v>14</v>
      </c>
      <c r="D14" s="338" t="s">
        <v>14</v>
      </c>
      <c r="E14" s="338" t="s">
        <v>14</v>
      </c>
      <c r="F14" s="338" t="s">
        <v>14</v>
      </c>
      <c r="G14" s="338" t="s">
        <v>14</v>
      </c>
      <c r="H14" s="338" t="s">
        <v>14</v>
      </c>
      <c r="I14" s="338" t="s">
        <v>14</v>
      </c>
      <c r="J14" s="338" t="s">
        <v>14</v>
      </c>
      <c r="K14" s="334"/>
    </row>
    <row r="15" spans="1:11" ht="15.75">
      <c r="A15" s="337"/>
      <c r="B15" s="338"/>
      <c r="C15" s="338"/>
      <c r="D15" s="338"/>
      <c r="E15" s="338"/>
      <c r="F15" s="338"/>
      <c r="G15" s="338"/>
      <c r="H15" s="338"/>
      <c r="I15" s="338"/>
      <c r="J15" s="338"/>
      <c r="K15" s="334"/>
    </row>
    <row r="16" spans="1:11" ht="15.75">
      <c r="A16" s="337"/>
      <c r="B16" s="338"/>
      <c r="C16" s="338"/>
      <c r="D16" s="338"/>
      <c r="E16" s="338"/>
      <c r="F16" s="338"/>
      <c r="G16" s="338"/>
      <c r="H16" s="338"/>
      <c r="I16" s="338"/>
      <c r="J16" s="338"/>
      <c r="K16" s="334"/>
    </row>
    <row r="17" spans="1:11" ht="15.75">
      <c r="A17" s="337"/>
      <c r="B17" s="340"/>
      <c r="C17" s="340"/>
      <c r="D17" s="340"/>
      <c r="E17" s="340"/>
      <c r="F17" s="338"/>
      <c r="G17" s="338"/>
      <c r="H17" s="338"/>
      <c r="I17" s="338"/>
      <c r="J17" s="338"/>
      <c r="K17" s="334"/>
    </row>
    <row r="18" spans="1:11" ht="15.75">
      <c r="A18" s="333" t="s">
        <v>344</v>
      </c>
      <c r="B18" s="338"/>
      <c r="C18" s="338"/>
      <c r="D18" s="338"/>
      <c r="E18" s="338"/>
      <c r="F18" s="338"/>
      <c r="G18" s="338"/>
      <c r="H18" s="338"/>
      <c r="I18" s="338"/>
      <c r="J18" s="338"/>
      <c r="K18" s="334"/>
    </row>
    <row r="19" spans="1:11" ht="15.75">
      <c r="A19" s="333"/>
      <c r="B19" s="341"/>
      <c r="C19" s="338"/>
      <c r="D19" s="338"/>
      <c r="E19" s="338"/>
      <c r="F19" s="338"/>
      <c r="G19" s="338"/>
      <c r="H19" s="338"/>
      <c r="I19" s="338"/>
      <c r="J19" s="338"/>
      <c r="K19" s="334"/>
    </row>
    <row r="20" spans="1:11" ht="15.75">
      <c r="A20" s="337"/>
      <c r="B20" s="341"/>
      <c r="C20" s="338"/>
      <c r="D20" s="338"/>
      <c r="E20" s="338"/>
      <c r="F20" s="338"/>
      <c r="G20" s="338"/>
      <c r="H20" s="338"/>
      <c r="I20" s="338"/>
      <c r="J20" s="338"/>
      <c r="K20" s="334"/>
    </row>
    <row r="21" spans="1:11" ht="15.75">
      <c r="A21" s="337" t="s">
        <v>345</v>
      </c>
      <c r="B21" s="338">
        <f t="shared" ref="B21:J21" si="0">B8*1.2195</f>
        <v>0</v>
      </c>
      <c r="C21" s="338">
        <f t="shared" si="0"/>
        <v>4.5958442850000001</v>
      </c>
      <c r="D21" s="338">
        <f t="shared" si="0"/>
        <v>5.3492513849999996</v>
      </c>
      <c r="E21" s="338">
        <f t="shared" si="0"/>
        <v>5.4201043350000004</v>
      </c>
      <c r="F21" s="338">
        <f t="shared" si="0"/>
        <v>4.9208410349999996</v>
      </c>
      <c r="G21" s="338">
        <f t="shared" si="0"/>
        <v>4.8999875850000008</v>
      </c>
      <c r="H21" s="338">
        <f t="shared" si="0"/>
        <v>4.9866940350000002</v>
      </c>
      <c r="I21" s="338">
        <f t="shared" si="0"/>
        <v>5.7433937849999994</v>
      </c>
      <c r="J21" s="338">
        <f t="shared" si="0"/>
        <v>6.0091228350000003</v>
      </c>
      <c r="K21" s="338"/>
    </row>
    <row r="22" spans="1:11" ht="15.75">
      <c r="A22" s="337"/>
      <c r="B22" s="338"/>
      <c r="C22" s="338"/>
      <c r="D22" s="338"/>
      <c r="E22" s="338"/>
      <c r="F22" s="338"/>
      <c r="G22" s="338"/>
      <c r="I22" s="338"/>
      <c r="J22" s="338"/>
      <c r="K22" s="336"/>
    </row>
    <row r="23" spans="1:11" ht="15.75">
      <c r="A23" s="337" t="s">
        <v>346</v>
      </c>
      <c r="B23" s="338">
        <f t="shared" ref="B23:J23" si="1">B10*8.3655</f>
        <v>0</v>
      </c>
      <c r="C23" s="338">
        <f t="shared" si="1"/>
        <v>27.338454000000002</v>
      </c>
      <c r="D23" s="338">
        <f t="shared" si="1"/>
        <v>26.631569250000002</v>
      </c>
      <c r="E23" s="338">
        <f t="shared" si="1"/>
        <v>26.945275500000005</v>
      </c>
      <c r="F23" s="338">
        <f t="shared" si="1"/>
        <v>26.485173000000003</v>
      </c>
      <c r="G23" s="338">
        <f t="shared" si="1"/>
        <v>25.489678500000004</v>
      </c>
      <c r="H23" s="338">
        <f t="shared" si="1"/>
        <v>29.613870000000002</v>
      </c>
      <c r="I23" s="338">
        <f t="shared" si="1"/>
        <v>30.408592500000001</v>
      </c>
      <c r="J23" s="338">
        <f t="shared" si="1"/>
        <v>30.408592500000001</v>
      </c>
      <c r="K23" s="338"/>
    </row>
    <row r="24" spans="1:11" ht="15.75">
      <c r="A24" s="337"/>
      <c r="B24" s="338"/>
      <c r="C24" s="338"/>
      <c r="D24" s="338"/>
      <c r="E24" s="338"/>
      <c r="F24" s="338"/>
      <c r="G24" s="338"/>
      <c r="H24" s="338"/>
      <c r="I24" s="338"/>
      <c r="J24" s="338"/>
      <c r="K24" s="336"/>
    </row>
    <row r="25" spans="1:11" ht="15.75">
      <c r="A25" s="337" t="s">
        <v>347</v>
      </c>
      <c r="B25" s="338" t="s">
        <v>531</v>
      </c>
      <c r="C25" s="338" t="s">
        <v>531</v>
      </c>
      <c r="D25" s="338" t="s">
        <v>531</v>
      </c>
      <c r="E25" s="338" t="s">
        <v>531</v>
      </c>
      <c r="F25" s="338" t="s">
        <v>531</v>
      </c>
      <c r="G25" s="338" t="s">
        <v>531</v>
      </c>
      <c r="H25" s="338" t="s">
        <v>531</v>
      </c>
      <c r="I25" s="338" t="s">
        <v>531</v>
      </c>
      <c r="J25" s="338" t="s">
        <v>531</v>
      </c>
      <c r="K25" s="338"/>
    </row>
    <row r="26" spans="1:11" ht="15">
      <c r="A26" s="334"/>
      <c r="B26" s="340"/>
      <c r="C26" s="340"/>
      <c r="D26" s="340"/>
      <c r="E26" s="340"/>
      <c r="F26" s="340"/>
      <c r="G26" s="340"/>
      <c r="H26" s="340"/>
      <c r="I26" s="338"/>
      <c r="J26" s="338"/>
      <c r="K26" s="334"/>
    </row>
    <row r="27" spans="1:11" ht="15">
      <c r="A27" s="334" t="s">
        <v>348</v>
      </c>
      <c r="B27" s="336"/>
      <c r="C27" s="336"/>
      <c r="D27" s="336"/>
      <c r="E27" s="336"/>
      <c r="F27" s="336"/>
      <c r="G27" s="336"/>
      <c r="H27" s="336"/>
      <c r="I27" s="336"/>
      <c r="J27" s="336"/>
      <c r="K27" s="334"/>
    </row>
    <row r="28" spans="1:11" ht="15">
      <c r="A28" s="334" t="s">
        <v>349</v>
      </c>
      <c r="B28" s="336"/>
      <c r="C28" s="336"/>
      <c r="D28" s="336"/>
      <c r="E28" s="336"/>
      <c r="F28" s="336"/>
      <c r="G28" s="336"/>
      <c r="H28" s="336"/>
      <c r="I28" s="336"/>
      <c r="J28" s="336"/>
      <c r="K28" s="334"/>
    </row>
    <row r="29" spans="1:11" ht="15">
      <c r="A29" s="334"/>
      <c r="B29" s="336"/>
      <c r="C29" s="336"/>
      <c r="D29" s="336"/>
      <c r="E29" s="336"/>
      <c r="F29" s="336"/>
      <c r="G29" s="336"/>
      <c r="H29" s="336"/>
      <c r="I29" s="336"/>
      <c r="J29" s="336"/>
      <c r="K29" s="334"/>
    </row>
    <row r="30" spans="1:11" ht="15.75">
      <c r="A30" s="444" t="s">
        <v>350</v>
      </c>
      <c r="B30" s="445"/>
      <c r="C30" s="336"/>
      <c r="E30" s="336"/>
      <c r="F30" s="336"/>
      <c r="G30" s="336"/>
      <c r="H30" s="336"/>
      <c r="I30" s="336"/>
      <c r="J30" s="336"/>
      <c r="K30" s="334"/>
    </row>
    <row r="31" spans="1:11" ht="15">
      <c r="A31" s="446"/>
      <c r="B31" s="445"/>
      <c r="C31" s="445"/>
      <c r="D31" s="445"/>
      <c r="E31" s="445"/>
      <c r="F31" s="445"/>
      <c r="G31" s="445"/>
      <c r="H31" s="445"/>
      <c r="I31" s="445"/>
      <c r="J31" s="445"/>
      <c r="K31" s="455" t="s">
        <v>351</v>
      </c>
    </row>
    <row r="32" spans="1:11" ht="15.75">
      <c r="A32" s="447" t="s">
        <v>292</v>
      </c>
      <c r="B32" s="448"/>
      <c r="C32" s="448"/>
      <c r="D32" s="458" t="s">
        <v>532</v>
      </c>
      <c r="E32" s="448"/>
      <c r="F32" s="448"/>
      <c r="G32" s="448"/>
      <c r="H32" s="448"/>
      <c r="I32" s="448"/>
      <c r="J32" s="448"/>
      <c r="K32" s="456">
        <f>SUM(B32:J32)</f>
        <v>0</v>
      </c>
    </row>
    <row r="33" spans="1:11" ht="15">
      <c r="A33" s="446"/>
      <c r="B33" s="445"/>
      <c r="C33" s="445"/>
      <c r="D33" s="445"/>
      <c r="E33" s="445"/>
      <c r="F33" s="445"/>
      <c r="G33" s="445"/>
      <c r="H33" s="445"/>
      <c r="I33" s="445"/>
      <c r="J33" s="445"/>
      <c r="K33" s="455" t="s">
        <v>414</v>
      </c>
    </row>
    <row r="34" spans="1:11">
      <c r="A34" s="449" t="s">
        <v>376</v>
      </c>
      <c r="B34" s="450">
        <f t="shared" ref="B34:J34" si="2">(B32/1000)*B21</f>
        <v>0</v>
      </c>
      <c r="C34" s="450">
        <f t="shared" si="2"/>
        <v>0</v>
      </c>
      <c r="D34" s="450" t="e">
        <f>(#REF!/1000)*D21</f>
        <v>#REF!</v>
      </c>
      <c r="E34" s="450">
        <f t="shared" si="2"/>
        <v>0</v>
      </c>
      <c r="F34" s="450">
        <f t="shared" si="2"/>
        <v>0</v>
      </c>
      <c r="G34" s="450">
        <f t="shared" si="2"/>
        <v>0</v>
      </c>
      <c r="H34" s="450">
        <f t="shared" si="2"/>
        <v>0</v>
      </c>
      <c r="I34" s="450">
        <f t="shared" si="2"/>
        <v>0</v>
      </c>
      <c r="J34" s="450">
        <f t="shared" si="2"/>
        <v>0</v>
      </c>
      <c r="K34" s="450" t="e">
        <f>SUM(B34:J34)</f>
        <v>#REF!</v>
      </c>
    </row>
    <row r="35" spans="1:11">
      <c r="A35" s="449" t="s">
        <v>377</v>
      </c>
      <c r="B35" s="451" t="e">
        <f t="shared" ref="B35:J35" si="3">(B32/1000)*B25</f>
        <v>#VALUE!</v>
      </c>
      <c r="C35" s="451" t="e">
        <f t="shared" si="3"/>
        <v>#VALUE!</v>
      </c>
      <c r="D35" s="451" t="e">
        <f>(#REF!/1000)*D25</f>
        <v>#REF!</v>
      </c>
      <c r="E35" s="451" t="e">
        <f t="shared" si="3"/>
        <v>#VALUE!</v>
      </c>
      <c r="F35" s="451" t="e">
        <f t="shared" si="3"/>
        <v>#VALUE!</v>
      </c>
      <c r="G35" s="451" t="e">
        <f t="shared" si="3"/>
        <v>#VALUE!</v>
      </c>
      <c r="H35" s="451" t="e">
        <f t="shared" si="3"/>
        <v>#VALUE!</v>
      </c>
      <c r="I35" s="451" t="e">
        <f t="shared" si="3"/>
        <v>#VALUE!</v>
      </c>
      <c r="J35" s="451" t="e">
        <f t="shared" si="3"/>
        <v>#VALUE!</v>
      </c>
      <c r="K35" s="450" t="e">
        <f>SUM(B35:J35)</f>
        <v>#VALUE!</v>
      </c>
    </row>
    <row r="36" spans="1:11">
      <c r="A36" s="452"/>
      <c r="B36" s="452"/>
      <c r="C36" s="452"/>
      <c r="D36" s="452"/>
      <c r="E36" s="452"/>
      <c r="F36" s="452"/>
      <c r="G36" s="452"/>
      <c r="H36" s="452"/>
      <c r="I36" s="452"/>
      <c r="J36" s="452"/>
      <c r="K36" s="455" t="s">
        <v>415</v>
      </c>
    </row>
    <row r="37" spans="1:11" ht="18">
      <c r="A37" s="453" t="s">
        <v>352</v>
      </c>
      <c r="B37" s="454" t="e">
        <f t="shared" ref="B37:K37" si="4">B34-B35</f>
        <v>#VALUE!</v>
      </c>
      <c r="C37" s="454" t="e">
        <f t="shared" si="4"/>
        <v>#VALUE!</v>
      </c>
      <c r="D37" s="454" t="e">
        <f t="shared" si="4"/>
        <v>#REF!</v>
      </c>
      <c r="E37" s="454" t="e">
        <f t="shared" si="4"/>
        <v>#VALUE!</v>
      </c>
      <c r="F37" s="454" t="e">
        <f t="shared" si="4"/>
        <v>#VALUE!</v>
      </c>
      <c r="G37" s="454" t="e">
        <f t="shared" si="4"/>
        <v>#VALUE!</v>
      </c>
      <c r="H37" s="454" t="e">
        <f t="shared" si="4"/>
        <v>#VALUE!</v>
      </c>
      <c r="I37" s="454" t="e">
        <f t="shared" si="4"/>
        <v>#VALUE!</v>
      </c>
      <c r="J37" s="454" t="e">
        <f t="shared" si="4"/>
        <v>#VALUE!</v>
      </c>
      <c r="K37" s="457" t="e">
        <f t="shared" si="4"/>
        <v>#REF!</v>
      </c>
    </row>
  </sheetData>
  <phoneticPr fontId="51" type="noConversion"/>
  <pageMargins left="0.75" right="0.75" top="1" bottom="1" header="0.5" footer="0.5"/>
  <pageSetup scale="84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22</vt:i4>
      </vt:variant>
      <vt:variant>
        <vt:lpstr>Charts</vt:lpstr>
      </vt:variant>
      <vt:variant>
        <vt:i4>7</vt:i4>
      </vt:variant>
      <vt:variant>
        <vt:lpstr>Named Ranges</vt:lpstr>
      </vt:variant>
      <vt:variant>
        <vt:i4>18</vt:i4>
      </vt:variant>
    </vt:vector>
  </HeadingPairs>
  <TitlesOfParts>
    <vt:vector size="47" baseType="lpstr">
      <vt:lpstr>Annual Summary 12-13</vt:lpstr>
      <vt:lpstr>Summary page breaks</vt:lpstr>
      <vt:lpstr>KWH Consumption</vt:lpstr>
      <vt:lpstr>Electrical Cost</vt:lpstr>
      <vt:lpstr>KW Demand</vt:lpstr>
      <vt:lpstr>KW Demand Cost</vt:lpstr>
      <vt:lpstr>ELECOMs</vt:lpstr>
      <vt:lpstr>Fuel Costs</vt:lpstr>
      <vt:lpstr>BTUCOMS</vt:lpstr>
      <vt:lpstr>Heating Degree Days</vt:lpstr>
      <vt:lpstr>Cooling Degree Days</vt:lpstr>
      <vt:lpstr>Past Data</vt:lpstr>
      <vt:lpstr>12-13 Budget</vt:lpstr>
      <vt:lpstr>HDD vs Consump Stats</vt:lpstr>
      <vt:lpstr>HDD vs Consump Chart</vt:lpstr>
      <vt:lpstr>Condensate by Bldg</vt:lpstr>
      <vt:lpstr>Electrical Read by Bldg</vt:lpstr>
      <vt:lpstr>Bldg Elec Chart</vt:lpstr>
      <vt:lpstr>Wind Turbine Chart</vt:lpstr>
      <vt:lpstr>Wind Turbine Data</vt:lpstr>
      <vt:lpstr>Fuel Cost Comparisons</vt:lpstr>
      <vt:lpstr>Sheet1</vt:lpstr>
      <vt:lpstr>3 yr KWH Chart</vt:lpstr>
      <vt:lpstr>3 yr Elec Cost-Consump</vt:lpstr>
      <vt:lpstr>BTU Cost Chart</vt:lpstr>
      <vt:lpstr>Heat Deg Days Chart</vt:lpstr>
      <vt:lpstr>Cool Degree Days Chart</vt:lpstr>
      <vt:lpstr>HDD vs BTU Chart</vt:lpstr>
      <vt:lpstr>Condensate Chart</vt:lpstr>
      <vt:lpstr>ANNRPTS</vt:lpstr>
      <vt:lpstr>'Annual Summary 12-13'!Print_Area</vt:lpstr>
      <vt:lpstr>'Bldg Elec Chart'!Print_Area</vt:lpstr>
      <vt:lpstr>BTUCOMS!Print_Area</vt:lpstr>
      <vt:lpstr>'Condensate by Bldg'!Print_Area</vt:lpstr>
      <vt:lpstr>ELECOMs!Print_Area</vt:lpstr>
      <vt:lpstr>'Fuel Cost Comparisons'!Print_Area</vt:lpstr>
      <vt:lpstr>'HDD vs Consump Chart'!Print_Area</vt:lpstr>
      <vt:lpstr>'HDD vs Consump Stats'!Print_Area</vt:lpstr>
      <vt:lpstr>'Past Data'!Print_Area</vt:lpstr>
      <vt:lpstr>'Wind Turbine Chart'!Print_Area</vt:lpstr>
      <vt:lpstr>'Annual Summary 12-13'!Print_Area_MI</vt:lpstr>
      <vt:lpstr>'Annual Summary 12-13'!Print_Titles</vt:lpstr>
      <vt:lpstr>'Condensate by Bldg'!Print_Titles</vt:lpstr>
      <vt:lpstr>'Electrical Read by Bldg'!Print_Titles</vt:lpstr>
      <vt:lpstr>'Past Data'!Print_Titles</vt:lpstr>
      <vt:lpstr>'Summary page breaks'!Print_Titles</vt:lpstr>
      <vt:lpstr>'Annual Summary 12-13'!Print_Titles_MI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Annual Report 1998-99</dc:title>
  <dc:subject>Annual Energy Report</dc:subject>
  <dc:creator>David Bergstrom</dc:creator>
  <cp:keywords>Energy, Reports</cp:keywords>
  <cp:lastModifiedBy>macalester</cp:lastModifiedBy>
  <cp:lastPrinted>2014-04-22T14:01:14Z</cp:lastPrinted>
  <dcterms:created xsi:type="dcterms:W3CDTF">2003-08-23T02:00:32Z</dcterms:created>
  <dcterms:modified xsi:type="dcterms:W3CDTF">2014-04-22T14:04:44Z</dcterms:modified>
</cp:coreProperties>
</file>